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6384" windowHeight="8192" tabRatio="759" activeTab="1"/>
  </bookViews>
  <sheets>
    <sheet name="Intro" sheetId="1" r:id="rId1"/>
    <sheet name="Country" sheetId="2" r:id="rId2"/>
    <sheet name="School" sheetId="3" r:id="rId3"/>
    <sheet name="Laptop Costs" sheetId="4" r:id="rId4"/>
    <sheet name="Other Costs" sheetId="5" r:id="rId5"/>
    <sheet name="Program Costs" sheetId="6" r:id="rId6"/>
    <sheet name="Examples" sheetId="7" r:id="rId7"/>
  </sheets>
  <definedNames>
    <definedName name="AP_Cost">'Other Costs'!$B$22</definedName>
    <definedName name="Backup_Storage_per_laptop">'Other Costs'!$B$83</definedName>
    <definedName name="Batteries_per_MBC">'Other Costs'!$B$74</definedName>
    <definedName name="Cat5_Cost">'Other Costs'!$B$24</definedName>
    <definedName name="Charge_Controller_Cost">'Other Costs'!$B$49</definedName>
    <definedName name="Charge_Controller_Efficiency">'Other Costs'!$B$50</definedName>
    <definedName name="Charge_Time">'Other Costs'!$B$89</definedName>
    <definedName name="Charges_per_day">'School'!$B$9</definedName>
    <definedName name="DC_Power_Share_Cost">'Other Costs'!$B$77</definedName>
    <definedName name="DC_Power_Share_per_person">'Other Costs'!$B$78</definedName>
    <definedName name="Disk_Cost">'Other Costs'!$B$8</definedName>
    <definedName name="Disk_size">'Other Costs'!$B$10</definedName>
    <definedName name="DSL_Cost">'Other Costs'!$B$30</definedName>
    <definedName name="DSL_Monthly_Cost">'Other Costs'!$B$31</definedName>
    <definedName name="Estimated_Repair_Cost">'Laptop Costs'!$B$27</definedName>
    <definedName name="Example_DSL">'Country'!$C$16</definedName>
    <definedName name="Example_GSM">'Country'!$B$16</definedName>
    <definedName name="Example_infra_usage">'Country'!$C$20</definedName>
    <definedName name="Example_laptop_usage">'Country'!$C$19</definedName>
    <definedName name="Example_Other">'Country'!$E$16</definedName>
    <definedName name="Example_power_storage">'Country'!$C$21</definedName>
    <definedName name="Example_Sunlight_Hours">'Country'!$C$22</definedName>
    <definedName name="Example_VSAT">'Country'!$D$16</definedName>
    <definedName name="Generator_Cost">'Other Costs'!$B$64</definedName>
    <definedName name="Generator_KW">'Other Costs'!$B$65</definedName>
    <definedName name="Generator_KW_Cost">'Other Costs'!$B$66</definedName>
    <definedName name="GSM_Cost">'Other Costs'!$B$36</definedName>
    <definedName name="GSM_Monthly_Cost">'Other Costs'!$B$37</definedName>
    <definedName name="Infrastructure_per_day">'School'!$B$11</definedName>
    <definedName name="Inverter_Cost">'Other Costs'!$B$48</definedName>
    <definedName name="KWH_Cost">'Other Costs'!$B$58</definedName>
    <definedName name="Laptop_Cost">'Laptop Costs'!$B$12</definedName>
    <definedName name="Laptop_Program_Costs">'Program Costs'!$C$19</definedName>
    <definedName name="Laptops_in_school">'School'!$B$5</definedName>
    <definedName name="Large_Battery_Cost">'Other Costs'!$B$51</definedName>
    <definedName name="Large_Server_Cost">'Other Costs'!$B$5</definedName>
    <definedName name="Large_Solar_Panel_Cost">'Other Costs'!$B$47</definedName>
    <definedName name="Multi_Battery_Charger">'Other Costs'!$B$73</definedName>
    <definedName name="Other_Cost">'Other Costs'!$B$39</definedName>
    <definedName name="Other_monthly_cost">'Other Costs'!$B$40</definedName>
    <definedName name="Outlet_Cost">'Other Costs'!$B$62</definedName>
    <definedName name="Power_Strip_Cost">'Other Costs'!$B$60</definedName>
    <definedName name="Repair_kit_Cost">'Other Costs'!$B$26</definedName>
    <definedName name="Scaling_up_4">"$'Step 3 _ Specs'.$#REF!$#REF!"</definedName>
    <definedName name="School_Days_in_Month">'Other Costs'!$B$87</definedName>
    <definedName name="Simultaneous_Charging">'Other Costs'!$B$88</definedName>
    <definedName name="Small_Server_Cost">'Other Costs'!$B$12</definedName>
    <definedName name="Small_Server_UPS_Cost">'Other Costs'!$B$17</definedName>
    <definedName name="Solar_Panel_Cost">'Other Costs'!$B$46</definedName>
    <definedName name="Storage_Days">'School'!$B$13</definedName>
    <definedName name="Students_per_outlet">'Other Costs'!$B$63</definedName>
    <definedName name="Students_per_strip">'Other Costs'!$B$61</definedName>
    <definedName name="Students_per_XOP_Bundle">'Other Costs'!$B$70</definedName>
    <definedName name="Sunlight_Hours">'School'!$B$14</definedName>
    <definedName name="SW_Cost">'Other Costs'!$B$19</definedName>
    <definedName name="VSAT_Cost">'Other Costs'!$B$33</definedName>
    <definedName name="VSAT_Monthly_Cost">'Other Costs'!$B$34</definedName>
    <definedName name="W_AP">'Other Costs'!$D$22</definedName>
    <definedName name="W_DSL">'Other Costs'!$D$30</definedName>
    <definedName name="W_GSM">'Other Costs'!$D$36</definedName>
    <definedName name="W_laptop">'Laptop Costs'!$D$5</definedName>
    <definedName name="W_large_server">'Other Costs'!$B$22</definedName>
    <definedName name="W_Other">'Other Costs'!$D$39</definedName>
    <definedName name="W_small_server">'Other Costs'!$D$12</definedName>
    <definedName name="W_SW">'Other Costs'!$D$19</definedName>
    <definedName name="W_VSAT">'Other Costs'!$D$33</definedName>
    <definedName name="Wind_Generator_Cost">'Other Costs'!$B$56</definedName>
    <definedName name="XO_Adapter_Power_Factor">'Other Costs'!$B$54</definedName>
    <definedName name="XO_Battery_Cost">'Other Costs'!$B$75</definedName>
    <definedName name="XOP_Bundle">'Other Costs'!$B$70</definedName>
    <definedName name="XOP_Bundle_Cost">'Other Costs'!$B$69</definedName>
    <definedName name="XOP_Distributed">'Other Costs'!$B$69</definedName>
    <definedName name="XOP_Distributed_Cost">'Other Costs'!$B$69</definedName>
    <definedName name="XOP_Distributed_per_Student">'Other Costs'!$B$70</definedName>
    <definedName name="XOP_Power_Factor">'Other Costs'!$B$71</definedName>
    <definedName name="XOP_Rack">'Other Costs'!#REF!</definedName>
    <definedName name="XOP_Rack_per_student">'Other Costs'!#REF!</definedName>
    <definedName name="XS_Disk_space">'Other Costs'!$B$84</definedName>
    <definedName name="XS_Mem_per_laptop">'Other Costs'!$B$86</definedName>
  </definedNames>
  <calcPr fullCalcOnLoad="1" iterate="1" iterateCount="1" iterateDelta="0.001"/>
</workbook>
</file>

<file path=xl/comments3.xml><?xml version="1.0" encoding="utf-8"?>
<comments xmlns="http://schemas.openxmlformats.org/spreadsheetml/2006/main">
  <authors>
    <author>cg</author>
  </authors>
  <commentList>
    <comment ref="A125" authorId="0">
      <text>
        <r>
          <rPr>
            <sz val="10"/>
            <color indexed="8"/>
            <rFont val="Times New Roman"/>
            <family val="1"/>
          </rPr>
          <t>MBC = Multi Battery Charger</t>
        </r>
      </text>
    </comment>
    <comment ref="A134" authorId="0">
      <text>
        <r>
          <rPr>
            <b/>
            <sz val="10"/>
            <color indexed="8"/>
            <rFont val="Times New Roman"/>
            <family val="1"/>
          </rPr>
          <t xml:space="preserve">Joshua Seal:
</t>
        </r>
        <r>
          <rPr>
            <sz val="10"/>
            <color indexed="8"/>
            <rFont val="Times New Roman"/>
            <family val="1"/>
          </rPr>
          <t>A smaller Inverter should be put here because the infrastructure of the school requires so little power</t>
        </r>
      </text>
    </comment>
    <comment ref="A170" authorId="0">
      <text>
        <r>
          <rPr>
            <b/>
            <sz val="10"/>
            <color indexed="8"/>
            <rFont val="Times New Roman"/>
            <family val="1"/>
          </rPr>
          <t xml:space="preserve">Joshua Seal:
</t>
        </r>
        <r>
          <rPr>
            <sz val="10"/>
            <color indexed="8"/>
            <rFont val="Times New Roman"/>
            <family val="1"/>
          </rPr>
          <t>A smaller Inverter should be put here because the infrastructure of the school requires so little power</t>
        </r>
      </text>
    </comment>
  </commentList>
</comments>
</file>

<file path=xl/sharedStrings.xml><?xml version="1.0" encoding="utf-8"?>
<sst xmlns="http://schemas.openxmlformats.org/spreadsheetml/2006/main" count="741" uniqueCount="295">
  <si>
    <t>OLPC Deployment Workbook</t>
  </si>
  <si>
    <t>This collection of spreadsheets is designed to collect together the experience of the OLPC Technical Team and system component costs and information about a specific laptop deployment provided by the local team to produce an estimate of the infrastructure required, and the costs involved in the deployment.</t>
  </si>
  <si>
    <r>
      <t xml:space="preserve">There are two worksheets for use in planning: </t>
    </r>
    <r>
      <rPr>
        <i/>
        <sz val="12"/>
        <rFont val="Arial"/>
        <family val="2"/>
      </rPr>
      <t>Country</t>
    </r>
    <r>
      <rPr>
        <sz val="12"/>
        <rFont val="Arial"/>
        <family val="2"/>
      </rPr>
      <t xml:space="preserve"> and </t>
    </r>
    <r>
      <rPr>
        <i/>
        <sz val="12"/>
        <rFont val="Arial"/>
        <family val="2"/>
      </rPr>
      <t>School.</t>
    </r>
    <r>
      <rPr>
        <sz val="12"/>
        <rFont val="Arial"/>
        <family val="2"/>
      </rPr>
      <t xml:space="preserve">  The </t>
    </r>
    <r>
      <rPr>
        <i/>
        <sz val="12"/>
        <rFont val="Arial"/>
        <family val="2"/>
      </rPr>
      <t>Country</t>
    </r>
    <r>
      <rPr>
        <sz val="12"/>
        <rFont val="Arial"/>
        <family val="2"/>
      </rPr>
      <t xml:space="preserve"> worksheet takes information about overall number of laptops and rough percentages of schools and provides a rough estimate of the costs.  The </t>
    </r>
    <r>
      <rPr>
        <i/>
        <sz val="12"/>
        <rFont val="Arial"/>
        <family val="2"/>
      </rPr>
      <t>School</t>
    </r>
    <r>
      <rPr>
        <sz val="12"/>
        <rFont val="Arial"/>
        <family val="2"/>
      </rPr>
      <t xml:space="preserve"> worksheet takes detailed information about a particular school and provides an estimate of the required infrastructure, power, and costs given different power scenarios.</t>
    </r>
  </si>
  <si>
    <r>
      <t xml:space="preserve">These estimated costs depend on the accuracy of the system component costs specified in the </t>
    </r>
    <r>
      <rPr>
        <i/>
        <sz val="12"/>
        <rFont val="Arial"/>
        <family val="2"/>
      </rPr>
      <t>Laptop Costs,</t>
    </r>
    <r>
      <rPr>
        <sz val="12"/>
        <rFont val="Arial"/>
        <family val="2"/>
      </rPr>
      <t xml:space="preserve"> </t>
    </r>
    <r>
      <rPr>
        <i/>
        <sz val="12"/>
        <rFont val="Arial"/>
        <family val="2"/>
      </rPr>
      <t>Program Costs,</t>
    </r>
    <r>
      <rPr>
        <sz val="12"/>
        <rFont val="Arial"/>
        <family val="2"/>
      </rPr>
      <t xml:space="preserve"> and </t>
    </r>
    <r>
      <rPr>
        <i/>
        <sz val="12"/>
        <rFont val="Arial"/>
        <family val="2"/>
      </rPr>
      <t>Other Costs</t>
    </r>
    <r>
      <rPr>
        <sz val="12"/>
        <rFont val="Arial"/>
        <family val="2"/>
      </rPr>
      <t xml:space="preserve"> worksheets.  While the defaults provided are based on commercially available components, </t>
    </r>
    <r>
      <rPr>
        <b/>
        <sz val="12"/>
        <rFont val="Arial"/>
        <family val="2"/>
      </rPr>
      <t>these must be updated to reflect current and local prices for these components before using this workbook to estimate costs.</t>
    </r>
  </si>
  <si>
    <t>Country Expenses Estimate</t>
  </si>
  <si>
    <t>Use this worksheet to estimate the costs of a laptop deployment.  You must first check and correct the price estimates located in Laptop Costs, Other Costs, and Program Costs worksheets to account for local prices.</t>
  </si>
  <si>
    <t>To be filled by the Country</t>
  </si>
  <si>
    <t>Please fill with the requested amounts</t>
  </si>
  <si>
    <t>Provide the total number of laptops:</t>
  </si>
  <si>
    <t>(total number of children and teachers)</t>
  </si>
  <si>
    <t>Provide the percentage of laptops going to:</t>
  </si>
  <si>
    <t>How will the school be powered ?</t>
  </si>
  <si>
    <t>Power Grid</t>
  </si>
  <si>
    <t>Solar</t>
  </si>
  <si>
    <t>Ind. Solar</t>
  </si>
  <si>
    <t>Generator</t>
  </si>
  <si>
    <t xml:space="preserve">Small Schools (less than 50 students) : </t>
  </si>
  <si>
    <t xml:space="preserve">Medium Schools (between 50 and 300 students) : </t>
  </si>
  <si>
    <t xml:space="preserve">Large Schools (more than 300 students) : </t>
  </si>
  <si>
    <t>Provide the percentage of schools with Internet Connectivity:</t>
  </si>
  <si>
    <t>Connection Method :</t>
  </si>
  <si>
    <t>GSM</t>
  </si>
  <si>
    <t>DSL</t>
  </si>
  <si>
    <t>Satellite</t>
  </si>
  <si>
    <t>Other</t>
  </si>
  <si>
    <t>None</t>
  </si>
  <si>
    <t>Percentage of Schools :</t>
  </si>
  <si>
    <t>Additional Usage Information</t>
  </si>
  <si>
    <t xml:space="preserve">Laptop Usage :  </t>
  </si>
  <si>
    <t>charges per day (3-4 hours of operation per charge)</t>
  </si>
  <si>
    <t xml:space="preserve">Infrastructure Usage :  </t>
  </si>
  <si>
    <t>hours of operation per day</t>
  </si>
  <si>
    <t xml:space="preserve">If alternative power, how much storage is provided ?  </t>
  </si>
  <si>
    <t>school days (using above usage information)</t>
  </si>
  <si>
    <t xml:space="preserve">Solar array requirements computed based on  </t>
  </si>
  <si>
    <t>hours of sunlight per day</t>
  </si>
  <si>
    <t>Estimated Deployment Expenses</t>
  </si>
  <si>
    <t>Estimated Total Number of Schools:</t>
  </si>
  <si>
    <t>Num. Laptops</t>
  </si>
  <si>
    <t>Est. Num. Schools</t>
  </si>
  <si>
    <t>Capital</t>
  </si>
  <si>
    <t>Operating (per month)</t>
  </si>
  <si>
    <t>Schools using Grid Power</t>
  </si>
  <si>
    <t>Cost/Laptop</t>
  </si>
  <si>
    <t>Subtotal</t>
  </si>
  <si>
    <t>Small</t>
  </si>
  <si>
    <t>Medium</t>
  </si>
  <si>
    <t>Large</t>
  </si>
  <si>
    <t>School using Solar</t>
  </si>
  <si>
    <t>Individual</t>
  </si>
  <si>
    <t>Schools using Generators</t>
  </si>
  <si>
    <t>Repair Costs</t>
  </si>
  <si>
    <t>Spare Parts</t>
  </si>
  <si>
    <t>Internet Connectivity</t>
  </si>
  <si>
    <t>Cost/School</t>
  </si>
  <si>
    <t>Laptop &amp; Infrastructure Subtotals</t>
  </si>
  <si>
    <t>Associated Program Costs</t>
  </si>
  <si>
    <t xml:space="preserve">Training </t>
  </si>
  <si>
    <t>Software Preparation</t>
  </si>
  <si>
    <t xml:space="preserve">Total Estimated Capital Costs : </t>
  </si>
  <si>
    <t>Total Estimated Monthly Operating Costs:</t>
  </si>
  <si>
    <t>Expenses Details</t>
  </si>
  <si>
    <t>Laptops :</t>
  </si>
  <si>
    <t>Laptop Repair :</t>
  </si>
  <si>
    <t>Server and Networking Infrastructure :</t>
  </si>
  <si>
    <t>Power Infrastructure :</t>
  </si>
  <si>
    <t>Totals :</t>
  </si>
  <si>
    <t>Individual School Expenses Estimate</t>
  </si>
  <si>
    <t>Number of laptops in the school:</t>
  </si>
  <si>
    <t>teachers and students</t>
  </si>
  <si>
    <t>(DSL,VSAT,GSM,None)</t>
  </si>
  <si>
    <t>Laptop Usage</t>
  </si>
  <si>
    <t>charges per day</t>
  </si>
  <si>
    <t xml:space="preserve"> (3-4 hours of operation per charge)</t>
  </si>
  <si>
    <t>Infrastructure Usage</t>
  </si>
  <si>
    <t>If alternative power, how much storage ?</t>
  </si>
  <si>
    <t>school days</t>
  </si>
  <si>
    <t>Solar array requirements computed based on</t>
  </si>
  <si>
    <t>Suggested Infrastructure</t>
  </si>
  <si>
    <t>Number of Servers:</t>
  </si>
  <si>
    <t>Number of Access Points:</t>
  </si>
  <si>
    <t>Number of Switches:</t>
  </si>
  <si>
    <t>Power requirements per school</t>
  </si>
  <si>
    <t>Laptops</t>
  </si>
  <si>
    <t>kW,  or</t>
  </si>
  <si>
    <t>kWH per day</t>
  </si>
  <si>
    <t>Servers</t>
  </si>
  <si>
    <t>Networking</t>
  </si>
  <si>
    <t>Mimimum Service required for this school</t>
  </si>
  <si>
    <t>kiloWatts</t>
  </si>
  <si>
    <t>Power per day required by this school</t>
  </si>
  <si>
    <t>kiloWatt Hours</t>
  </si>
  <si>
    <t>Server</t>
  </si>
  <si>
    <t>Processor</t>
  </si>
  <si>
    <t>GHz x86 compatible</t>
  </si>
  <si>
    <t>Minimum Memory (DRAM)</t>
  </si>
  <si>
    <t>GiByte per server</t>
  </si>
  <si>
    <t>Minimum Disk Storage</t>
  </si>
  <si>
    <t>Estimated Costs</t>
  </si>
  <si>
    <t>With Grid Power</t>
  </si>
  <si>
    <t>Cost/ea</t>
  </si>
  <si>
    <t>Qty</t>
  </si>
  <si>
    <t>Server(s)</t>
  </si>
  <si>
    <t>Disk Storage</t>
  </si>
  <si>
    <t>Wireless Access Points w. POE</t>
  </si>
  <si>
    <t>Network Switch w. POE (8 port)</t>
  </si>
  <si>
    <t>Cat5 Cabling</t>
  </si>
  <si>
    <t xml:space="preserve">                                                                                                                                                                                                   </t>
  </si>
  <si>
    <t>Power Strips</t>
  </si>
  <si>
    <t>Total Estimated Cost for this school:</t>
  </si>
  <si>
    <t>Cost/Student:</t>
  </si>
  <si>
    <t>Server &amp; Networking Cost/Student:</t>
  </si>
  <si>
    <t>Power Cost/Student:</t>
  </si>
  <si>
    <t>Monthly Cost of Operation:</t>
  </si>
  <si>
    <t>With Grid Power &amp; XOP</t>
  </si>
  <si>
    <t>XOP Distributed or Rack</t>
  </si>
  <si>
    <t>With Grid &amp; MBC</t>
  </si>
  <si>
    <t>Multi Battery Charger</t>
  </si>
  <si>
    <t>Extra XO Batteries</t>
  </si>
  <si>
    <t>With Solar Power</t>
  </si>
  <si>
    <t>Large Solar Panels (in kW)</t>
  </si>
  <si>
    <t>Inverter (2 kW)</t>
  </si>
  <si>
    <t>Solar Storage Battery (in kWh)</t>
  </si>
  <si>
    <t>Solar Charge Controller (1.4 kW)</t>
  </si>
  <si>
    <t>New outlets from Inverters to classrooms</t>
  </si>
  <si>
    <t>With Solar Power &amp; XOP</t>
  </si>
  <si>
    <t>With Solar Power &amp; MBC</t>
  </si>
  <si>
    <t>With Generator</t>
  </si>
  <si>
    <t>Generator and Diesel/Gasoline tanks</t>
  </si>
  <si>
    <t>New outlets from generators to classrooms</t>
  </si>
  <si>
    <t>With Individual Solar Panels</t>
  </si>
  <si>
    <t>Individual Solar Panels</t>
  </si>
  <si>
    <t>DC Power Share Cable</t>
  </si>
  <si>
    <t xml:space="preserve">The cost of a laptop is more than just the original cost of purchase.   This worksheet incorporates the transportation costs, customs duties, and estimated five-year repair costs into the effective Laptop Cost. </t>
  </si>
  <si>
    <r>
      <t xml:space="preserve">All prices provided here are reasonable estimates.  </t>
    </r>
    <r>
      <rPr>
        <b/>
        <sz val="12"/>
        <rFont val="Arial"/>
        <family val="2"/>
      </rPr>
      <t>Actual prices will vary, and should be verified before using for budgetary estimates!</t>
    </r>
  </si>
  <si>
    <t>Product and Delivery</t>
  </si>
  <si>
    <t>Cost</t>
  </si>
  <si>
    <t>Power</t>
  </si>
  <si>
    <t>Laptop purchase</t>
  </si>
  <si>
    <t>WH per charge</t>
  </si>
  <si>
    <t>Transportation</t>
  </si>
  <si>
    <t>to site</t>
  </si>
  <si>
    <t>(this should include any warehousing)</t>
  </si>
  <si>
    <t>Import Duties</t>
  </si>
  <si>
    <t>Effective Laptop Cost</t>
  </si>
  <si>
    <t>The effective laptop cost includes the purchase, delivery, and customs costs</t>
  </si>
  <si>
    <t>Effective Laptop Cost :</t>
  </si>
  <si>
    <t>Repair</t>
  </si>
  <si>
    <t>This portion estimates maintenance costs for the laptop.</t>
  </si>
  <si>
    <t>The predicted frequency is an estimate of the proportion of laptops which will likely experience this problem over any given month in their five year lifespan.</t>
  </si>
  <si>
    <t>The hypothetical component price will have to be negotiated directly with Quanta Computer Inc., or a third party supplier.</t>
  </si>
  <si>
    <t>Amortized Cost</t>
  </si>
  <si>
    <t>Hypothetical Price</t>
  </si>
  <si>
    <t>Predicted Frequency</t>
  </si>
  <si>
    <t>Dead units (motherboard)</t>
  </si>
  <si>
    <t>Displays</t>
  </si>
  <si>
    <t>Keyboards</t>
  </si>
  <si>
    <t>Touchpads</t>
  </si>
  <si>
    <t>Batteries</t>
  </si>
  <si>
    <t>Power Adapters</t>
  </si>
  <si>
    <t>Repair Labor</t>
  </si>
  <si>
    <t>Repair Kits</t>
  </si>
  <si>
    <t>Estimated Repair Cost</t>
  </si>
  <si>
    <t xml:space="preserve"> per laptop, per month</t>
  </si>
  <si>
    <r>
      <t xml:space="preserve">This page contains the costs used in the scenarios, outside of the laptop transportation, repair, and program costs.  </t>
    </r>
    <r>
      <rPr>
        <b/>
        <sz val="12"/>
        <rFont val="Arial"/>
        <family val="2"/>
      </rPr>
      <t>Actual prices will vary, and should be verified before using for budgetary estimates!</t>
    </r>
  </si>
  <si>
    <t>All prices should include shipping costs and duties.</t>
  </si>
  <si>
    <t>Server &amp; Networking</t>
  </si>
  <si>
    <t>Component</t>
  </si>
  <si>
    <t>Estimated Cost</t>
  </si>
  <si>
    <t>Power (W)</t>
  </si>
  <si>
    <t>Large Server</t>
  </si>
  <si>
    <t>2 GHz processor</t>
  </si>
  <si>
    <t>4 GB DRAM</t>
  </si>
  <si>
    <r>
      <t xml:space="preserve">Varies, see </t>
    </r>
    <r>
      <rPr>
        <i/>
        <sz val="12"/>
        <rFont val="Arial"/>
        <family val="2"/>
      </rPr>
      <t>School</t>
    </r>
    <r>
      <rPr>
        <sz val="12"/>
        <rFont val="Arial"/>
        <family val="2"/>
      </rPr>
      <t xml:space="preserve"> worksheet</t>
    </r>
  </si>
  <si>
    <t>1 TB Disk</t>
  </si>
  <si>
    <t>disk priced separately, cheapest when provided by school</t>
  </si>
  <si>
    <t>The size above which disk prices increase above the cost listed:</t>
  </si>
  <si>
    <t>GiB</t>
  </si>
  <si>
    <t>Small Server</t>
  </si>
  <si>
    <t>e.g. Dell SC440</t>
  </si>
  <si>
    <t>1 GHz processor</t>
  </si>
  <si>
    <t>1 GB DRAM</t>
  </si>
  <si>
    <t>Small Server UPS</t>
  </si>
  <si>
    <t>100W output, 1 hr. capacity at 20W, for solar systems with no storage</t>
  </si>
  <si>
    <t>Network Switch</t>
  </si>
  <si>
    <t>e.g. Netgear FS108P, Dlink DES-1008P</t>
  </si>
  <si>
    <t>8 ports, w. PoE</t>
  </si>
  <si>
    <t>WiFi Access Point, w PoE</t>
  </si>
  <si>
    <t>Cat5 Cable</t>
  </si>
  <si>
    <t>per terminated 20 m segment</t>
  </si>
  <si>
    <t>Repair kit</t>
  </si>
  <si>
    <t>e.g. needlenose pliers, small wire cutters, #1 and #0 Philips magnetized screwdrivers, small flat screwdriver, soldering iron, solder, electrical tape, and a multimeter</t>
  </si>
  <si>
    <t>Internet Access</t>
  </si>
  <si>
    <t>DSL Modem</t>
  </si>
  <si>
    <t>Monthly fees</t>
  </si>
  <si>
    <t>per month</t>
  </si>
  <si>
    <t>Satellite Terminal</t>
  </si>
  <si>
    <t>GSM Modem</t>
  </si>
  <si>
    <t>Monthly GSM fee</t>
  </si>
  <si>
    <t>Other Method</t>
  </si>
  <si>
    <t>Operating costs</t>
  </si>
  <si>
    <t>Power Infrastructure</t>
  </si>
  <si>
    <t>Individual Solar Panel (10W)</t>
  </si>
  <si>
    <t>GP Solar</t>
  </si>
  <si>
    <t>Large Solar Panels</t>
  </si>
  <si>
    <t>per kW</t>
  </si>
  <si>
    <t>Inverters</t>
  </si>
  <si>
    <t>per 2 kW</t>
  </si>
  <si>
    <t>Batt. Charge Controllers</t>
  </si>
  <si>
    <t>per 1.4 kW</t>
  </si>
  <si>
    <t>Efficiency</t>
  </si>
  <si>
    <t>per kWH</t>
  </si>
  <si>
    <t>XO Power Adapter</t>
  </si>
  <si>
    <t>Power Factor</t>
  </si>
  <si>
    <t>Wind Generator</t>
  </si>
  <si>
    <t>Grid Power</t>
  </si>
  <si>
    <t>Power Strip/Surge Protector</t>
  </si>
  <si>
    <t>per power strip</t>
  </si>
  <si>
    <t>students/power strip</t>
  </si>
  <si>
    <t>New Outlets</t>
  </si>
  <si>
    <t>per new wall outlet</t>
  </si>
  <si>
    <t>students/outlet</t>
  </si>
  <si>
    <t>Diesel/Gasoline Generator</t>
  </si>
  <si>
    <t>per generator</t>
  </si>
  <si>
    <t>kW service per generator</t>
  </si>
  <si>
    <t>Generator Operating Cost</t>
  </si>
  <si>
    <t xml:space="preserve">at a Fuel Cost of : </t>
  </si>
  <si>
    <t>per gallon</t>
  </si>
  <si>
    <t>per Bundle</t>
  </si>
  <si>
    <t>students/XOP Bundle</t>
  </si>
  <si>
    <t>Batteries/Multi Battery Charger</t>
  </si>
  <si>
    <t>XO Battery</t>
  </si>
  <si>
    <t>per Battery</t>
  </si>
  <si>
    <t>DC Power Share</t>
  </si>
  <si>
    <t>per cable</t>
  </si>
  <si>
    <t>students and Solar/DC Power Share</t>
  </si>
  <si>
    <t>System Constants</t>
  </si>
  <si>
    <t>These are constants used in formulas which embed assumptions into the worksheet.  They generally reflect the experience of testing and should not be changed without consulting OLPC.</t>
  </si>
  <si>
    <t>Backup Storage per laptop</t>
  </si>
  <si>
    <t>GiB per laptop</t>
  </si>
  <si>
    <t>XS Disk space</t>
  </si>
  <si>
    <t>GiB per server</t>
  </si>
  <si>
    <t>(Disk space required for XS operating system)</t>
  </si>
  <si>
    <t>XS Memory per laptop</t>
  </si>
  <si>
    <t>(2) MiB expressed in GiB</t>
  </si>
  <si>
    <t>School Days in Month</t>
  </si>
  <si>
    <t>days</t>
  </si>
  <si>
    <t>Number of laptops Charging simultaneously</t>
  </si>
  <si>
    <t>Laptop &amp; MBC Charge time</t>
  </si>
  <si>
    <t>hours from socket</t>
  </si>
  <si>
    <t>This worksheet details expected program costs for laptop deployment.</t>
  </si>
  <si>
    <t>These are locale specific prices.  Please revise before using for budgetary purposes!</t>
  </si>
  <si>
    <t>Per Laptop Program Costs</t>
  </si>
  <si>
    <t>Teachers</t>
  </si>
  <si>
    <t>Teacher training</t>
  </si>
  <si>
    <t>$</t>
  </si>
  <si>
    <t>per XO</t>
  </si>
  <si>
    <t>Stationery for the teacher trainings</t>
  </si>
  <si>
    <t>Materials</t>
  </si>
  <si>
    <t>Manuals for Teacher Training</t>
  </si>
  <si>
    <t>Manuals for children</t>
  </si>
  <si>
    <t>Content development</t>
  </si>
  <si>
    <t>Didactic materials</t>
  </si>
  <si>
    <t xml:space="preserve">Support to teachers regarding Learning Activities and to teachers planning class activities, </t>
  </si>
  <si>
    <t>Support</t>
  </si>
  <si>
    <t>Software</t>
  </si>
  <si>
    <t>Management</t>
  </si>
  <si>
    <t>Distribution scheme - children's and teacher's lists</t>
  </si>
  <si>
    <t>XO control system</t>
  </si>
  <si>
    <t>Per Deployment Program Costs</t>
  </si>
  <si>
    <t>Translation</t>
  </si>
  <si>
    <t>Sugar</t>
  </si>
  <si>
    <t>per locale</t>
  </si>
  <si>
    <t>Activities</t>
  </si>
  <si>
    <t>Evaluation</t>
  </si>
  <si>
    <t>Evaluation of software activities and content to pre-load on the XO (OLPC pilots)</t>
  </si>
  <si>
    <t>Impact (assessment) - academic, social, creativity and innovation</t>
  </si>
  <si>
    <r>
      <t xml:space="preserve">These are example schools used in creating the deployment expenses estimate in the </t>
    </r>
    <r>
      <rPr>
        <i/>
        <sz val="12"/>
        <rFont val="Arial"/>
        <family val="2"/>
      </rPr>
      <t>Country</t>
    </r>
    <r>
      <rPr>
        <sz val="12"/>
        <rFont val="Arial"/>
        <family val="2"/>
      </rPr>
      <t xml:space="preserve"> worksheet.  This estimate requires that the costs specified in the </t>
    </r>
    <r>
      <rPr>
        <i/>
        <sz val="12"/>
        <rFont val="Arial"/>
        <family val="2"/>
      </rPr>
      <t>Laptop Costs</t>
    </r>
    <r>
      <rPr>
        <sz val="12"/>
        <rFont val="Arial"/>
        <family val="2"/>
      </rPr>
      <t xml:space="preserve">, </t>
    </r>
    <r>
      <rPr>
        <i/>
        <sz val="12"/>
        <rFont val="Arial"/>
        <family val="2"/>
      </rPr>
      <t>Other Costs</t>
    </r>
    <r>
      <rPr>
        <sz val="12"/>
        <rFont val="Arial"/>
        <family val="2"/>
      </rPr>
      <t xml:space="preserve">, and </t>
    </r>
    <r>
      <rPr>
        <i/>
        <sz val="12"/>
        <rFont val="Arial"/>
        <family val="2"/>
      </rPr>
      <t>Program Costs</t>
    </r>
    <r>
      <rPr>
        <sz val="12"/>
        <rFont val="Arial"/>
        <family val="2"/>
      </rPr>
      <t xml:space="preserve"> worksheets be corrected to represent locally available prices.</t>
    </r>
  </si>
  <si>
    <r>
      <t xml:space="preserve">Several infrastructure parameters, such as the number of sunlight hours, and the number of laptop charges per day are defined in common in the </t>
    </r>
    <r>
      <rPr>
        <i/>
        <sz val="12"/>
        <rFont val="Arial"/>
        <family val="2"/>
      </rPr>
      <t>Country</t>
    </r>
    <r>
      <rPr>
        <sz val="12"/>
        <rFont val="Arial"/>
        <family val="2"/>
      </rPr>
      <t xml:space="preserve"> worksheet.</t>
    </r>
  </si>
  <si>
    <t>The costs of Internet connections are not present in these school calculations.  Their cost is represented separately, and their power is still appropriately averaged and accounted for below.</t>
  </si>
  <si>
    <t>Example #1: Small school</t>
  </si>
  <si>
    <t>Example #1 Suggested Infrastructure</t>
  </si>
  <si>
    <t>Number of Switches</t>
  </si>
  <si>
    <t>Minimum Service required for this school</t>
  </si>
  <si>
    <t>Gbyte per server</t>
  </si>
  <si>
    <t>Example #1 Estimated Costs</t>
  </si>
  <si>
    <t>Monthly Cost of Operation / Student:</t>
  </si>
  <si>
    <t>New outlets from inverters to classrooms</t>
  </si>
  <si>
    <t>Monthly Cost of Operation/Student:</t>
  </si>
  <si>
    <t>Example #2: Medium sized school</t>
  </si>
  <si>
    <t>Example #2 Suggested Infrastructure</t>
  </si>
  <si>
    <t>Example #2 Estimated Costs</t>
  </si>
  <si>
    <t>Example #3: Large school</t>
  </si>
  <si>
    <t>Example #3 Suggested Infrastructure</t>
  </si>
  <si>
    <t>Example #3 Estimated Costs</t>
  </si>
</sst>
</file>

<file path=xl/styles.xml><?xml version="1.0" encoding="utf-8"?>
<styleSheet xmlns="http://schemas.openxmlformats.org/spreadsheetml/2006/main">
  <numFmts count="18">
    <numFmt numFmtId="164" formatCode="GENERAL"/>
    <numFmt numFmtId="165" formatCode="#,##0.00\ ;\-#,##0.00\ ;&quot; -&quot;#\ ;@\ "/>
    <numFmt numFmtId="166" formatCode="&quot; £&quot;#,##0.00\ ;&quot;-£&quot;#,##0.00\ ;&quot; £-&quot;#\ ;@\ "/>
    <numFmt numFmtId="167" formatCode="#,##0\ ;\-#,##0\ ;&quot; - &quot;;@\ "/>
    <numFmt numFmtId="168" formatCode="0%"/>
    <numFmt numFmtId="169" formatCode="_(\$* #,##0_);_(\$* \(#,##0\);_(\$* \-_);_(@_)"/>
    <numFmt numFmtId="170" formatCode="#,##0"/>
    <numFmt numFmtId="171" formatCode="_(\$* #,##0_);_(\$* \(#,##0\);_(\$* \-_);_(@_)"/>
    <numFmt numFmtId="172" formatCode="_(\$* #,##0.00_);_(\$* \(#,##0.00\);_(\$* \-??_);_(@_)"/>
    <numFmt numFmtId="173" formatCode="_(\$* #,##0.000_);_(\$* \(#,##0.000\);_(\$* \-???_);_(@_)"/>
    <numFmt numFmtId="174" formatCode="0.00%"/>
    <numFmt numFmtId="175" formatCode="[$$-409]#,##0.00\ ;\-[$$-409]#,##0.00\ "/>
    <numFmt numFmtId="176" formatCode="0.00"/>
    <numFmt numFmtId="177" formatCode="0.0"/>
    <numFmt numFmtId="178" formatCode="0.000000"/>
    <numFmt numFmtId="179" formatCode="_(\$* #,##0.00_);_(\$* \(#,##0.00\);_(\$* \-??_);_(@_)"/>
    <numFmt numFmtId="180" formatCode="0"/>
    <numFmt numFmtId="181" formatCode="0.000000000"/>
  </numFmts>
  <fonts count="26">
    <font>
      <sz val="10"/>
      <name val="Verdana"/>
      <family val="2"/>
    </font>
    <font>
      <sz val="10"/>
      <name val="Arial"/>
      <family val="0"/>
    </font>
    <font>
      <sz val="12"/>
      <name val="Arial"/>
      <family val="2"/>
    </font>
    <font>
      <b/>
      <sz val="36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16"/>
      <color indexed="13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color indexed="13"/>
      <name val="Arial"/>
      <family val="2"/>
    </font>
    <font>
      <b/>
      <sz val="16"/>
      <color indexed="9"/>
      <name val="Arial"/>
      <family val="2"/>
    </font>
    <font>
      <b/>
      <sz val="12"/>
      <color indexed="58"/>
      <name val="Arial"/>
      <family val="2"/>
    </font>
    <font>
      <sz val="12"/>
      <color indexed="58"/>
      <name val="Arial"/>
      <family val="2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sz val="12"/>
      <color indexed="13"/>
      <name val="Arial"/>
      <family val="2"/>
    </font>
    <font>
      <sz val="10"/>
      <color indexed="58"/>
      <name val="Arial"/>
      <family val="2"/>
    </font>
    <font>
      <b/>
      <sz val="14"/>
      <color indexed="9"/>
      <name val="Arial"/>
      <family val="2"/>
    </font>
    <font>
      <sz val="12"/>
      <color indexed="40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2"/>
      <color indexed="58"/>
      <name val="Arial"/>
      <family val="2"/>
    </font>
    <font>
      <b/>
      <sz val="12"/>
      <color indexed="9"/>
      <name val="Arial"/>
      <family val="2"/>
    </font>
    <font>
      <b/>
      <sz val="14"/>
      <color indexed="13"/>
      <name val="Arial"/>
      <family val="2"/>
    </font>
    <font>
      <b/>
      <sz val="8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5" fontId="1" fillId="0" borderId="0" applyFill="0" applyBorder="0" applyAlignment="0" applyProtection="0"/>
    <xf numFmtId="166" fontId="1" fillId="0" borderId="0" applyFill="0" applyBorder="0" applyAlignment="0" applyProtection="0"/>
    <xf numFmtId="164" fontId="1" fillId="0" borderId="0">
      <alignment/>
      <protection/>
    </xf>
  </cellStyleXfs>
  <cellXfs count="206">
    <xf numFmtId="164" fontId="0" fillId="0" borderId="0" xfId="0" applyAlignment="1">
      <alignment/>
    </xf>
    <xf numFmtId="164" fontId="2" fillId="0" borderId="0" xfId="22" applyFont="1">
      <alignment/>
      <protection/>
    </xf>
    <xf numFmtId="164" fontId="3" fillId="0" borderId="0" xfId="22" applyFont="1">
      <alignment/>
      <protection/>
    </xf>
    <xf numFmtId="164" fontId="2" fillId="0" borderId="0" xfId="22" applyFont="1" applyBorder="1" applyAlignment="1">
      <alignment horizontal="justify" vertical="top" wrapText="1"/>
      <protection/>
    </xf>
    <xf numFmtId="164" fontId="6" fillId="0" borderId="0" xfId="22" applyFont="1">
      <alignment/>
      <protection/>
    </xf>
    <xf numFmtId="164" fontId="1" fillId="0" borderId="0" xfId="0" applyFont="1" applyAlignment="1">
      <alignment/>
    </xf>
    <xf numFmtId="164" fontId="2" fillId="0" borderId="0" xfId="22" applyFont="1" applyBorder="1" applyAlignment="1">
      <alignment horizontal="left" wrapText="1"/>
      <protection/>
    </xf>
    <xf numFmtId="164" fontId="2" fillId="0" borderId="0" xfId="22" applyFont="1" applyBorder="1" applyAlignment="1">
      <alignment wrapText="1"/>
      <protection/>
    </xf>
    <xf numFmtId="164" fontId="7" fillId="2" borderId="0" xfId="22" applyFont="1" applyFill="1" applyBorder="1" applyAlignment="1">
      <alignment horizontal="center"/>
      <protection/>
    </xf>
    <xf numFmtId="164" fontId="8" fillId="0" borderId="0" xfId="22" applyFont="1" applyFill="1" applyBorder="1" applyAlignment="1">
      <alignment horizontal="center"/>
      <protection/>
    </xf>
    <xf numFmtId="164" fontId="2" fillId="0" borderId="0" xfId="22" applyFont="1" applyFill="1" applyBorder="1">
      <alignment/>
      <protection/>
    </xf>
    <xf numFmtId="164" fontId="2" fillId="0" borderId="0" xfId="22" applyFont="1" applyAlignment="1">
      <alignment horizontal="center"/>
      <protection/>
    </xf>
    <xf numFmtId="164" fontId="9" fillId="0" borderId="0" xfId="22" applyFont="1" applyBorder="1">
      <alignment/>
      <protection/>
    </xf>
    <xf numFmtId="167" fontId="10" fillId="2" borderId="0" xfId="20" applyNumberFormat="1" applyFont="1" applyFill="1" applyBorder="1" applyAlignment="1" applyProtection="1">
      <alignment/>
      <protection/>
    </xf>
    <xf numFmtId="164" fontId="9" fillId="0" borderId="0" xfId="22" applyFont="1">
      <alignment/>
      <protection/>
    </xf>
    <xf numFmtId="164" fontId="9" fillId="0" borderId="0" xfId="22" applyFont="1" applyBorder="1" applyAlignment="1">
      <alignment horizontal="center"/>
      <protection/>
    </xf>
    <xf numFmtId="164" fontId="5" fillId="0" borderId="0" xfId="22" applyFont="1" applyBorder="1" applyAlignment="1">
      <alignment horizontal="center"/>
      <protection/>
    </xf>
    <xf numFmtId="164" fontId="5" fillId="0" borderId="0" xfId="22" applyFont="1" applyBorder="1" applyAlignment="1">
      <alignment horizontal="center" wrapText="1"/>
      <protection/>
    </xf>
    <xf numFmtId="164" fontId="1" fillId="0" borderId="0" xfId="22" applyFont="1">
      <alignment/>
      <protection/>
    </xf>
    <xf numFmtId="164" fontId="5" fillId="0" borderId="0" xfId="22" applyFont="1" applyBorder="1" applyAlignment="1">
      <alignment horizontal="right"/>
      <protection/>
    </xf>
    <xf numFmtId="168" fontId="10" fillId="2" borderId="0" xfId="20" applyNumberFormat="1" applyFont="1" applyFill="1" applyBorder="1" applyAlignment="1" applyProtection="1">
      <alignment horizontal="center"/>
      <protection/>
    </xf>
    <xf numFmtId="168" fontId="5" fillId="0" borderId="0" xfId="20" applyNumberFormat="1" applyFont="1" applyFill="1" applyBorder="1" applyAlignment="1" applyProtection="1">
      <alignment horizontal="center"/>
      <protection/>
    </xf>
    <xf numFmtId="164" fontId="9" fillId="0" borderId="0" xfId="22" applyFont="1" applyBorder="1" applyAlignment="1">
      <alignment horizontal="left" wrapText="1"/>
      <protection/>
    </xf>
    <xf numFmtId="164" fontId="2" fillId="0" borderId="0" xfId="22" applyFont="1" applyBorder="1" applyAlignment="1">
      <alignment horizontal="center"/>
      <protection/>
    </xf>
    <xf numFmtId="164" fontId="2" fillId="0" borderId="0" xfId="22" applyFont="1" applyBorder="1">
      <alignment/>
      <protection/>
    </xf>
    <xf numFmtId="164" fontId="5" fillId="0" borderId="0" xfId="22" applyFont="1" applyAlignment="1">
      <alignment horizontal="right"/>
      <protection/>
    </xf>
    <xf numFmtId="164" fontId="5" fillId="0" borderId="0" xfId="22" applyFont="1" applyAlignment="1">
      <alignment horizontal="center"/>
      <protection/>
    </xf>
    <xf numFmtId="168" fontId="10" fillId="2" borderId="0" xfId="22" applyNumberFormat="1" applyFont="1" applyFill="1" applyBorder="1" applyAlignment="1">
      <alignment horizontal="center"/>
      <protection/>
    </xf>
    <xf numFmtId="168" fontId="5" fillId="0" borderId="0" xfId="22" applyNumberFormat="1" applyFont="1" applyFill="1" applyBorder="1" applyAlignment="1">
      <alignment horizontal="center"/>
      <protection/>
    </xf>
    <xf numFmtId="164" fontId="2" fillId="0" borderId="0" xfId="22" applyFont="1" applyAlignment="1">
      <alignment horizontal="right"/>
      <protection/>
    </xf>
    <xf numFmtId="164" fontId="10" fillId="2" borderId="1" xfId="22" applyFont="1" applyFill="1" applyBorder="1" applyAlignment="1">
      <alignment horizontal="center"/>
      <protection/>
    </xf>
    <xf numFmtId="164" fontId="10" fillId="2" borderId="2" xfId="22" applyFont="1" applyFill="1" applyBorder="1" applyAlignment="1">
      <alignment horizontal="center"/>
      <protection/>
    </xf>
    <xf numFmtId="164" fontId="2" fillId="0" borderId="3" xfId="22" applyFont="1" applyBorder="1" applyAlignment="1">
      <alignment horizontal="right" vertical="center" wrapText="1"/>
      <protection/>
    </xf>
    <xf numFmtId="164" fontId="10" fillId="2" borderId="2" xfId="22" applyFont="1" applyFill="1" applyBorder="1" applyAlignment="1">
      <alignment horizontal="center" vertical="center"/>
      <protection/>
    </xf>
    <xf numFmtId="164" fontId="2" fillId="0" borderId="0" xfId="22" applyFont="1" applyAlignment="1">
      <alignment vertical="center"/>
      <protection/>
    </xf>
    <xf numFmtId="164" fontId="2" fillId="0" borderId="3" xfId="0" applyFont="1" applyBorder="1" applyAlignment="1">
      <alignment horizontal="right" wrapText="1"/>
    </xf>
    <xf numFmtId="164" fontId="10" fillId="2" borderId="4" xfId="0" applyFont="1" applyFill="1" applyBorder="1" applyAlignment="1">
      <alignment horizontal="center"/>
    </xf>
    <xf numFmtId="169" fontId="2" fillId="0" borderId="0" xfId="0" applyNumberFormat="1" applyFont="1" applyAlignment="1">
      <alignment/>
    </xf>
    <xf numFmtId="164" fontId="11" fillId="3" borderId="0" xfId="22" applyFont="1" applyFill="1" applyBorder="1" applyAlignment="1">
      <alignment horizontal="center" wrapText="1"/>
      <protection/>
    </xf>
    <xf numFmtId="164" fontId="8" fillId="0" borderId="0" xfId="22" applyFont="1" applyFill="1" applyBorder="1" applyAlignment="1">
      <alignment horizontal="center" wrapText="1"/>
      <protection/>
    </xf>
    <xf numFmtId="164" fontId="2" fillId="0" borderId="0" xfId="22" applyFont="1" applyFill="1">
      <alignment/>
      <protection/>
    </xf>
    <xf numFmtId="164" fontId="2" fillId="0" borderId="0" xfId="22" applyFont="1" applyBorder="1" applyAlignment="1">
      <alignment horizontal="right"/>
      <protection/>
    </xf>
    <xf numFmtId="164" fontId="2" fillId="0" borderId="5" xfId="22" applyFont="1" applyBorder="1" applyAlignment="1">
      <alignment wrapText="1"/>
      <protection/>
    </xf>
    <xf numFmtId="164" fontId="5" fillId="0" borderId="6" xfId="22" applyFont="1" applyBorder="1" applyAlignment="1">
      <alignment horizontal="center" wrapText="1"/>
      <protection/>
    </xf>
    <xf numFmtId="164" fontId="5" fillId="0" borderId="7" xfId="22" applyFont="1" applyBorder="1" applyAlignment="1">
      <alignment horizontal="center"/>
      <protection/>
    </xf>
    <xf numFmtId="164" fontId="5" fillId="0" borderId="6" xfId="22" applyFont="1" applyBorder="1">
      <alignment/>
      <protection/>
    </xf>
    <xf numFmtId="164" fontId="5" fillId="0" borderId="8" xfId="22" applyFont="1" applyBorder="1" applyAlignment="1">
      <alignment horizontal="center"/>
      <protection/>
    </xf>
    <xf numFmtId="164" fontId="5" fillId="0" borderId="6" xfId="22" applyFont="1" applyBorder="1" applyAlignment="1">
      <alignment horizontal="center"/>
      <protection/>
    </xf>
    <xf numFmtId="170" fontId="2" fillId="0" borderId="0" xfId="22" applyNumberFormat="1" applyFont="1">
      <alignment/>
      <protection/>
    </xf>
    <xf numFmtId="169" fontId="2" fillId="0" borderId="7" xfId="22" applyNumberFormat="1" applyFont="1" applyBorder="1">
      <alignment/>
      <protection/>
    </xf>
    <xf numFmtId="169" fontId="2" fillId="0" borderId="0" xfId="22" applyNumberFormat="1" applyFont="1" applyBorder="1">
      <alignment/>
      <protection/>
    </xf>
    <xf numFmtId="172" fontId="2" fillId="0" borderId="7" xfId="22" applyNumberFormat="1" applyFont="1" applyBorder="1">
      <alignment/>
      <protection/>
    </xf>
    <xf numFmtId="172" fontId="2" fillId="0" borderId="0" xfId="22" applyNumberFormat="1" applyFont="1" applyBorder="1">
      <alignment/>
      <protection/>
    </xf>
    <xf numFmtId="170" fontId="2" fillId="0" borderId="6" xfId="22" applyNumberFormat="1" applyFont="1" applyBorder="1">
      <alignment/>
      <protection/>
    </xf>
    <xf numFmtId="169" fontId="2" fillId="0" borderId="8" xfId="22" applyNumberFormat="1" applyFont="1" applyBorder="1">
      <alignment/>
      <protection/>
    </xf>
    <xf numFmtId="169" fontId="2" fillId="0" borderId="6" xfId="22" applyNumberFormat="1" applyFont="1" applyBorder="1">
      <alignment/>
      <protection/>
    </xf>
    <xf numFmtId="172" fontId="2" fillId="0" borderId="8" xfId="22" applyNumberFormat="1" applyFont="1" applyBorder="1">
      <alignment/>
      <protection/>
    </xf>
    <xf numFmtId="164" fontId="2" fillId="0" borderId="6" xfId="22" applyFont="1" applyBorder="1">
      <alignment/>
      <protection/>
    </xf>
    <xf numFmtId="164" fontId="5" fillId="0" borderId="6" xfId="22" applyFont="1" applyBorder="1" applyAlignment="1">
      <alignment horizontal="left"/>
      <protection/>
    </xf>
    <xf numFmtId="164" fontId="2" fillId="0" borderId="6" xfId="22" applyFont="1" applyBorder="1" applyAlignment="1">
      <alignment horizontal="right"/>
      <protection/>
    </xf>
    <xf numFmtId="173" fontId="2" fillId="0" borderId="8" xfId="22" applyNumberFormat="1" applyFont="1" applyBorder="1">
      <alignment/>
      <protection/>
    </xf>
    <xf numFmtId="173" fontId="2" fillId="0" borderId="7" xfId="22" applyNumberFormat="1" applyFont="1" applyBorder="1">
      <alignment/>
      <protection/>
    </xf>
    <xf numFmtId="169" fontId="5" fillId="0" borderId="8" xfId="22" applyNumberFormat="1" applyFont="1" applyBorder="1">
      <alignment/>
      <protection/>
    </xf>
    <xf numFmtId="172" fontId="5" fillId="0" borderId="8" xfId="22" applyNumberFormat="1" applyFont="1" applyBorder="1" applyAlignment="1">
      <alignment horizontal="center"/>
      <protection/>
    </xf>
    <xf numFmtId="164" fontId="5" fillId="0" borderId="9" xfId="22" applyFont="1" applyBorder="1" applyAlignment="1">
      <alignment horizontal="left"/>
      <protection/>
    </xf>
    <xf numFmtId="164" fontId="2" fillId="0" borderId="9" xfId="22" applyFont="1" applyBorder="1">
      <alignment/>
      <protection/>
    </xf>
    <xf numFmtId="169" fontId="2" fillId="0" borderId="10" xfId="22" applyNumberFormat="1" applyFont="1" applyBorder="1">
      <alignment/>
      <protection/>
    </xf>
    <xf numFmtId="169" fontId="2" fillId="0" borderId="9" xfId="22" applyNumberFormat="1" applyFont="1" applyBorder="1">
      <alignment/>
      <protection/>
    </xf>
    <xf numFmtId="172" fontId="2" fillId="0" borderId="10" xfId="22" applyNumberFormat="1" applyFont="1" applyBorder="1">
      <alignment/>
      <protection/>
    </xf>
    <xf numFmtId="164" fontId="5" fillId="0" borderId="0" xfId="22" applyFont="1" applyBorder="1" applyAlignment="1">
      <alignment horizontal="left"/>
      <protection/>
    </xf>
    <xf numFmtId="164" fontId="2" fillId="0" borderId="7" xfId="22" applyFont="1" applyBorder="1">
      <alignment/>
      <protection/>
    </xf>
    <xf numFmtId="164" fontId="12" fillId="4" borderId="0" xfId="22" applyFont="1" applyFill="1" applyBorder="1" applyAlignment="1">
      <alignment horizontal="left" vertical="center"/>
      <protection/>
    </xf>
    <xf numFmtId="164" fontId="13" fillId="4" borderId="0" xfId="22" applyFont="1" applyFill="1" applyBorder="1" applyAlignment="1">
      <alignment vertical="center"/>
      <protection/>
    </xf>
    <xf numFmtId="169" fontId="12" fillId="4" borderId="0" xfId="22" applyNumberFormat="1" applyFont="1" applyFill="1" applyBorder="1" applyAlignment="1">
      <alignment vertical="center"/>
      <protection/>
    </xf>
    <xf numFmtId="164" fontId="2" fillId="4" borderId="0" xfId="22" applyFont="1" applyFill="1" applyBorder="1" applyAlignment="1">
      <alignment vertical="center"/>
      <protection/>
    </xf>
    <xf numFmtId="164" fontId="14" fillId="4" borderId="0" xfId="22" applyFont="1" applyFill="1" applyBorder="1" applyAlignment="1">
      <alignment horizontal="left" vertical="center"/>
      <protection/>
    </xf>
    <xf numFmtId="164" fontId="15" fillId="4" borderId="0" xfId="22" applyFont="1" applyFill="1" applyBorder="1" applyAlignment="1">
      <alignment vertical="center"/>
      <protection/>
    </xf>
    <xf numFmtId="169" fontId="15" fillId="4" borderId="0" xfId="22" applyNumberFormat="1" applyFont="1" applyFill="1" applyAlignment="1">
      <alignment vertical="center"/>
      <protection/>
    </xf>
    <xf numFmtId="164" fontId="9" fillId="0" borderId="0" xfId="22" applyFont="1" applyAlignment="1">
      <alignment horizontal="left"/>
      <protection/>
    </xf>
    <xf numFmtId="164" fontId="13" fillId="4" borderId="0" xfId="22" applyFont="1" applyFill="1">
      <alignment/>
      <protection/>
    </xf>
    <xf numFmtId="164" fontId="13" fillId="4" borderId="0" xfId="22" applyFont="1" applyFill="1" applyAlignment="1">
      <alignment horizontal="right"/>
      <protection/>
    </xf>
    <xf numFmtId="169" fontId="13" fillId="4" borderId="0" xfId="22" applyNumberFormat="1" applyFont="1" applyFill="1">
      <alignment/>
      <protection/>
    </xf>
    <xf numFmtId="174" fontId="13" fillId="4" borderId="0" xfId="22" applyNumberFormat="1" applyFont="1" applyFill="1">
      <alignment/>
      <protection/>
    </xf>
    <xf numFmtId="164" fontId="13" fillId="4" borderId="0" xfId="22" applyFont="1" applyFill="1" applyBorder="1" applyAlignment="1">
      <alignment horizontal="right"/>
      <protection/>
    </xf>
    <xf numFmtId="169" fontId="13" fillId="4" borderId="0" xfId="21" applyNumberFormat="1" applyFont="1" applyFill="1" applyBorder="1" applyAlignment="1" applyProtection="1">
      <alignment/>
      <protection/>
    </xf>
    <xf numFmtId="175" fontId="2" fillId="0" borderId="0" xfId="22" applyNumberFormat="1" applyFont="1">
      <alignment/>
      <protection/>
    </xf>
    <xf numFmtId="175" fontId="5" fillId="0" borderId="0" xfId="22" applyNumberFormat="1" applyFont="1">
      <alignment/>
      <protection/>
    </xf>
    <xf numFmtId="169" fontId="13" fillId="4" borderId="9" xfId="22" applyNumberFormat="1" applyFont="1" applyFill="1" applyBorder="1">
      <alignment/>
      <protection/>
    </xf>
    <xf numFmtId="174" fontId="13" fillId="4" borderId="9" xfId="21" applyNumberFormat="1" applyFont="1" applyFill="1" applyBorder="1" applyAlignment="1" applyProtection="1">
      <alignment/>
      <protection/>
    </xf>
    <xf numFmtId="164" fontId="1" fillId="0" borderId="0" xfId="22" applyFont="1" applyFill="1">
      <alignment/>
      <protection/>
    </xf>
    <xf numFmtId="167" fontId="7" fillId="2" borderId="5" xfId="20" applyNumberFormat="1" applyFont="1" applyFill="1" applyBorder="1" applyAlignment="1" applyProtection="1">
      <alignment horizontal="center"/>
      <protection/>
    </xf>
    <xf numFmtId="164" fontId="1" fillId="0" borderId="0" xfId="0" applyFont="1" applyFill="1" applyAlignment="1">
      <alignment/>
    </xf>
    <xf numFmtId="164" fontId="2" fillId="0" borderId="0" xfId="0" applyFont="1" applyAlignment="1">
      <alignment horizontal="right"/>
    </xf>
    <xf numFmtId="164" fontId="16" fillId="2" borderId="5" xfId="0" applyFont="1" applyFill="1" applyBorder="1" applyAlignment="1">
      <alignment horizontal="center"/>
    </xf>
    <xf numFmtId="164" fontId="16" fillId="2" borderId="5" xfId="22" applyFont="1" applyFill="1" applyBorder="1" applyAlignment="1">
      <alignment horizontal="center"/>
      <protection/>
    </xf>
    <xf numFmtId="164" fontId="16" fillId="2" borderId="1" xfId="22" applyFont="1" applyFill="1" applyBorder="1" applyAlignment="1">
      <alignment horizontal="center"/>
      <protection/>
    </xf>
    <xf numFmtId="164" fontId="16" fillId="2" borderId="4" xfId="0" applyFont="1" applyFill="1" applyBorder="1" applyAlignment="1">
      <alignment horizontal="center"/>
    </xf>
    <xf numFmtId="164" fontId="2" fillId="0" borderId="0" xfId="0" applyFont="1" applyAlignment="1">
      <alignment/>
    </xf>
    <xf numFmtId="167" fontId="11" fillId="3" borderId="5" xfId="20" applyNumberFormat="1" applyFont="1" applyFill="1" applyBorder="1" applyAlignment="1" applyProtection="1">
      <alignment horizontal="center"/>
      <protection/>
    </xf>
    <xf numFmtId="164" fontId="12" fillId="4" borderId="0" xfId="22" applyFont="1" applyFill="1" applyAlignment="1">
      <alignment horizontal="right"/>
      <protection/>
    </xf>
    <xf numFmtId="164" fontId="12" fillId="4" borderId="0" xfId="22" applyFont="1" applyFill="1">
      <alignment/>
      <protection/>
    </xf>
    <xf numFmtId="164" fontId="8" fillId="0" borderId="0" xfId="22" applyFont="1">
      <alignment/>
      <protection/>
    </xf>
    <xf numFmtId="164" fontId="2" fillId="0" borderId="0" xfId="0" applyFont="1" applyFill="1" applyAlignment="1">
      <alignment horizontal="right"/>
    </xf>
    <xf numFmtId="176" fontId="2" fillId="0" borderId="0" xfId="0" applyNumberFormat="1" applyFont="1" applyFill="1" applyAlignment="1">
      <alignment/>
    </xf>
    <xf numFmtId="177" fontId="2" fillId="0" borderId="0" xfId="0" applyNumberFormat="1" applyFont="1" applyFill="1" applyAlignment="1">
      <alignment/>
    </xf>
    <xf numFmtId="164" fontId="2" fillId="0" borderId="0" xfId="0" applyFont="1" applyFill="1" applyAlignment="1">
      <alignment/>
    </xf>
    <xf numFmtId="176" fontId="2" fillId="0" borderId="0" xfId="0" applyNumberFormat="1" applyFont="1" applyAlignment="1">
      <alignment/>
    </xf>
    <xf numFmtId="177" fontId="2" fillId="0" borderId="0" xfId="0" applyNumberFormat="1" applyFont="1" applyAlignment="1">
      <alignment/>
    </xf>
    <xf numFmtId="164" fontId="12" fillId="4" borderId="0" xfId="22" applyFont="1" applyFill="1" applyBorder="1" applyAlignment="1">
      <alignment horizontal="right" vertical="center" wrapText="1"/>
      <protection/>
    </xf>
    <xf numFmtId="177" fontId="12" fillId="4" borderId="0" xfId="22" applyNumberFormat="1" applyFont="1" applyFill="1" applyBorder="1" applyAlignment="1">
      <alignment vertical="center"/>
      <protection/>
    </xf>
    <xf numFmtId="164" fontId="13" fillId="4" borderId="0" xfId="22" applyFont="1" applyFill="1" applyAlignment="1">
      <alignment/>
      <protection/>
    </xf>
    <xf numFmtId="164" fontId="13" fillId="4" borderId="0" xfId="0" applyFont="1" applyFill="1" applyAlignment="1">
      <alignment/>
    </xf>
    <xf numFmtId="164" fontId="17" fillId="4" borderId="0" xfId="0" applyFont="1" applyFill="1" applyAlignment="1">
      <alignment/>
    </xf>
    <xf numFmtId="164" fontId="18" fillId="3" borderId="0" xfId="22" applyFont="1" applyFill="1" applyBorder="1" applyAlignment="1">
      <alignment horizontal="center" vertical="center"/>
      <protection/>
    </xf>
    <xf numFmtId="164" fontId="18" fillId="3" borderId="0" xfId="0" applyFont="1" applyFill="1" applyAlignment="1">
      <alignment/>
    </xf>
    <xf numFmtId="169" fontId="5" fillId="0" borderId="6" xfId="0" applyNumberFormat="1" applyFont="1" applyBorder="1" applyAlignment="1">
      <alignment/>
    </xf>
    <xf numFmtId="164" fontId="5" fillId="0" borderId="6" xfId="0" applyFont="1" applyBorder="1" applyAlignment="1">
      <alignment horizontal="center"/>
    </xf>
    <xf numFmtId="169" fontId="4" fillId="0" borderId="0" xfId="0" applyNumberFormat="1" applyFont="1" applyAlignment="1">
      <alignment/>
    </xf>
    <xf numFmtId="169" fontId="4" fillId="0" borderId="0" xfId="22" applyNumberFormat="1" applyFont="1" applyAlignment="1">
      <alignment horizontal="right"/>
      <protection/>
    </xf>
    <xf numFmtId="164" fontId="13" fillId="4" borderId="0" xfId="0" applyFont="1" applyFill="1" applyAlignment="1">
      <alignment vertical="center"/>
    </xf>
    <xf numFmtId="169" fontId="13" fillId="4" borderId="0" xfId="0" applyNumberFormat="1" applyFont="1" applyFill="1" applyAlignment="1">
      <alignment vertical="center"/>
    </xf>
    <xf numFmtId="164" fontId="13" fillId="4" borderId="0" xfId="0" applyFont="1" applyFill="1" applyAlignment="1">
      <alignment horizontal="right" vertical="center"/>
    </xf>
    <xf numFmtId="169" fontId="13" fillId="4" borderId="9" xfId="0" applyNumberFormat="1" applyFont="1" applyFill="1" applyBorder="1" applyAlignment="1">
      <alignment vertical="center"/>
    </xf>
    <xf numFmtId="164" fontId="1" fillId="0" borderId="0" xfId="22" applyFont="1" applyAlignment="1">
      <alignment vertical="center"/>
      <protection/>
    </xf>
    <xf numFmtId="164" fontId="1" fillId="0" borderId="0" xfId="22" applyFont="1" applyFill="1" applyAlignment="1">
      <alignment vertical="center"/>
      <protection/>
    </xf>
    <xf numFmtId="164" fontId="17" fillId="4" borderId="0" xfId="22" applyFont="1" applyFill="1" applyAlignment="1">
      <alignment vertical="center"/>
      <protection/>
    </xf>
    <xf numFmtId="169" fontId="13" fillId="4" borderId="0" xfId="0" applyNumberFormat="1" applyFont="1" applyFill="1" applyAlignment="1">
      <alignment vertical="center"/>
    </xf>
    <xf numFmtId="169" fontId="1" fillId="0" borderId="0" xfId="22" applyNumberFormat="1" applyFont="1">
      <alignment/>
      <protection/>
    </xf>
    <xf numFmtId="164" fontId="19" fillId="0" borderId="0" xfId="0" applyFont="1" applyFill="1" applyAlignment="1">
      <alignment/>
    </xf>
    <xf numFmtId="164" fontId="2" fillId="0" borderId="0" xfId="0" applyFont="1" applyBorder="1" applyAlignment="1">
      <alignment horizontal="left" vertical="top" wrapText="1"/>
    </xf>
    <xf numFmtId="164" fontId="18" fillId="3" borderId="0" xfId="0" applyFont="1" applyFill="1" applyBorder="1" applyAlignment="1">
      <alignment horizontal="center" vertical="center" wrapText="1"/>
    </xf>
    <xf numFmtId="164" fontId="2" fillId="0" borderId="6" xfId="0" applyFont="1" applyBorder="1" applyAlignment="1">
      <alignment/>
    </xf>
    <xf numFmtId="169" fontId="5" fillId="0" borderId="6" xfId="0" applyNumberFormat="1" applyFont="1" applyBorder="1" applyAlignment="1">
      <alignment horizontal="center"/>
    </xf>
    <xf numFmtId="169" fontId="2" fillId="0" borderId="6" xfId="0" applyNumberFormat="1" applyFont="1" applyBorder="1" applyAlignment="1">
      <alignment/>
    </xf>
    <xf numFmtId="164" fontId="5" fillId="0" borderId="0" xfId="0" applyFont="1" applyAlignment="1">
      <alignment/>
    </xf>
    <xf numFmtId="169" fontId="4" fillId="0" borderId="5" xfId="0" applyNumberFormat="1" applyFont="1" applyBorder="1" applyAlignment="1">
      <alignment/>
    </xf>
    <xf numFmtId="164" fontId="5" fillId="0" borderId="0" xfId="0" applyFont="1" applyBorder="1" applyAlignment="1">
      <alignment/>
    </xf>
    <xf numFmtId="169" fontId="4" fillId="0" borderId="0" xfId="0" applyNumberFormat="1" applyFont="1" applyBorder="1" applyAlignment="1">
      <alignment/>
    </xf>
    <xf numFmtId="169" fontId="2" fillId="0" borderId="0" xfId="0" applyNumberFormat="1" applyFont="1" applyBorder="1" applyAlignment="1">
      <alignment/>
    </xf>
    <xf numFmtId="164" fontId="2" fillId="0" borderId="0" xfId="0" applyFont="1" applyBorder="1" applyAlignment="1">
      <alignment/>
    </xf>
    <xf numFmtId="169" fontId="4" fillId="0" borderId="1" xfId="0" applyNumberFormat="1" applyFont="1" applyBorder="1" applyAlignment="1">
      <alignment/>
    </xf>
    <xf numFmtId="169" fontId="4" fillId="0" borderId="4" xfId="0" applyNumberFormat="1" applyFont="1" applyBorder="1" applyAlignment="1">
      <alignment/>
    </xf>
    <xf numFmtId="164" fontId="5" fillId="0" borderId="0" xfId="0" applyFont="1" applyFill="1" applyAlignment="1">
      <alignment horizontal="right"/>
    </xf>
    <xf numFmtId="169" fontId="5" fillId="0" borderId="0" xfId="0" applyNumberFormat="1" applyFont="1" applyFill="1" applyBorder="1" applyAlignment="1">
      <alignment/>
    </xf>
    <xf numFmtId="169" fontId="2" fillId="0" borderId="0" xfId="0" applyNumberFormat="1" applyFont="1" applyFill="1" applyAlignment="1">
      <alignment/>
    </xf>
    <xf numFmtId="164" fontId="2" fillId="0" borderId="0" xfId="0" applyFont="1" applyFill="1" applyBorder="1" applyAlignment="1">
      <alignment horizontal="left" vertical="center" wrapText="1"/>
    </xf>
    <xf numFmtId="164" fontId="12" fillId="4" borderId="0" xfId="0" applyFont="1" applyFill="1" applyAlignment="1">
      <alignment horizontal="right" vertical="center"/>
    </xf>
    <xf numFmtId="169" fontId="12" fillId="4" borderId="0" xfId="0" applyNumberFormat="1" applyFont="1" applyFill="1" applyBorder="1" applyAlignment="1">
      <alignment vertical="center"/>
    </xf>
    <xf numFmtId="164" fontId="15" fillId="0" borderId="0" xfId="0" applyFont="1" applyFill="1" applyAlignment="1">
      <alignment vertical="center"/>
    </xf>
    <xf numFmtId="164" fontId="2" fillId="0" borderId="0" xfId="0" applyFont="1" applyAlignment="1">
      <alignment vertical="center"/>
    </xf>
    <xf numFmtId="164" fontId="5" fillId="0" borderId="0" xfId="0" applyFont="1" applyAlignment="1">
      <alignment horizontal="right"/>
    </xf>
    <xf numFmtId="164" fontId="5" fillId="0" borderId="6" xfId="0" applyFont="1" applyBorder="1" applyAlignment="1">
      <alignment/>
    </xf>
    <xf numFmtId="164" fontId="5" fillId="0" borderId="6" xfId="0" applyFont="1" applyBorder="1" applyAlignment="1">
      <alignment horizontal="center" wrapText="1"/>
    </xf>
    <xf numFmtId="169" fontId="5" fillId="0" borderId="6" xfId="0" applyNumberFormat="1" applyFont="1" applyBorder="1" applyAlignment="1">
      <alignment horizontal="center" wrapText="1"/>
    </xf>
    <xf numFmtId="173" fontId="4" fillId="0" borderId="0" xfId="0" applyNumberFormat="1" applyFont="1" applyAlignment="1">
      <alignment/>
    </xf>
    <xf numFmtId="178" fontId="2" fillId="0" borderId="0" xfId="0" applyNumberFormat="1" applyFont="1" applyBorder="1" applyAlignment="1">
      <alignment horizontal="center"/>
    </xf>
    <xf numFmtId="173" fontId="4" fillId="0" borderId="6" xfId="0" applyNumberFormat="1" applyFont="1" applyBorder="1" applyAlignment="1">
      <alignment/>
    </xf>
    <xf numFmtId="169" fontId="4" fillId="0" borderId="6" xfId="0" applyNumberFormat="1" applyFont="1" applyBorder="1" applyAlignment="1">
      <alignment/>
    </xf>
    <xf numFmtId="178" fontId="2" fillId="0" borderId="6" xfId="0" applyNumberFormat="1" applyFont="1" applyBorder="1" applyAlignment="1">
      <alignment horizontal="center"/>
    </xf>
    <xf numFmtId="173" fontId="12" fillId="4" borderId="0" xfId="0" applyNumberFormat="1" applyFont="1" applyFill="1" applyBorder="1" applyAlignment="1">
      <alignment vertical="center"/>
    </xf>
    <xf numFmtId="169" fontId="22" fillId="4" borderId="0" xfId="0" applyNumberFormat="1" applyFont="1" applyFill="1" applyAlignment="1">
      <alignment vertical="center"/>
    </xf>
    <xf numFmtId="172" fontId="4" fillId="0" borderId="0" xfId="0" applyNumberFormat="1" applyFont="1" applyAlignment="1">
      <alignment/>
    </xf>
    <xf numFmtId="164" fontId="2" fillId="0" borderId="0" xfId="0" applyFont="1" applyAlignment="1">
      <alignment horizontal="center"/>
    </xf>
    <xf numFmtId="164" fontId="2" fillId="0" borderId="0" xfId="0" applyFont="1" applyFill="1" applyBorder="1" applyAlignment="1">
      <alignment/>
    </xf>
    <xf numFmtId="164" fontId="2" fillId="0" borderId="0" xfId="0" applyFont="1" applyFill="1" applyBorder="1" applyAlignment="1">
      <alignment horizontal="left" vertical="top" wrapText="1"/>
    </xf>
    <xf numFmtId="164" fontId="2" fillId="0" borderId="0" xfId="0" applyFont="1" applyAlignment="1">
      <alignment vertical="top"/>
    </xf>
    <xf numFmtId="164" fontId="18" fillId="3" borderId="0" xfId="0" applyFont="1" applyFill="1" applyBorder="1" applyAlignment="1">
      <alignment horizontal="center" vertical="center"/>
    </xf>
    <xf numFmtId="164" fontId="2" fillId="0" borderId="5" xfId="0" applyFont="1" applyBorder="1" applyAlignment="1">
      <alignment horizontal="center"/>
    </xf>
    <xf numFmtId="164" fontId="2" fillId="0" borderId="0" xfId="0" applyFont="1" applyAlignment="1">
      <alignment horizontal="left" vertical="top"/>
    </xf>
    <xf numFmtId="169" fontId="4" fillId="0" borderId="5" xfId="0" applyNumberFormat="1" applyFont="1" applyBorder="1" applyAlignment="1">
      <alignment vertical="top"/>
    </xf>
    <xf numFmtId="164" fontId="2" fillId="0" borderId="0" xfId="0" applyFont="1" applyAlignment="1">
      <alignment vertical="top" wrapText="1"/>
    </xf>
    <xf numFmtId="180" fontId="2" fillId="0" borderId="0" xfId="0" applyNumberFormat="1" applyFont="1" applyAlignment="1">
      <alignment/>
    </xf>
    <xf numFmtId="164" fontId="2" fillId="0" borderId="0" xfId="0" applyFont="1" applyBorder="1" applyAlignment="1">
      <alignment horizontal="center"/>
    </xf>
    <xf numFmtId="169" fontId="4" fillId="0" borderId="0" xfId="0" applyNumberFormat="1" applyFont="1" applyBorder="1" applyAlignment="1">
      <alignment vertical="top"/>
    </xf>
    <xf numFmtId="164" fontId="5" fillId="0" borderId="6" xfId="0" applyFont="1" applyBorder="1" applyAlignment="1">
      <alignment vertical="top"/>
    </xf>
    <xf numFmtId="164" fontId="2" fillId="0" borderId="0" xfId="0" applyFont="1" applyAlignment="1">
      <alignment horizontal="left"/>
    </xf>
    <xf numFmtId="169" fontId="4" fillId="0" borderId="0" xfId="0" applyNumberFormat="1" applyFont="1" applyAlignment="1">
      <alignment vertical="top"/>
    </xf>
    <xf numFmtId="164" fontId="2" fillId="0" borderId="0" xfId="0" applyFont="1" applyAlignment="1">
      <alignment wrapText="1"/>
    </xf>
    <xf numFmtId="164" fontId="2" fillId="0" borderId="6" xfId="0" applyFont="1" applyBorder="1" applyAlignment="1">
      <alignment horizontal="center"/>
    </xf>
    <xf numFmtId="169" fontId="2" fillId="0" borderId="1" xfId="0" applyNumberFormat="1" applyFont="1" applyBorder="1" applyAlignment="1">
      <alignment/>
    </xf>
    <xf numFmtId="169" fontId="2" fillId="0" borderId="2" xfId="0" applyNumberFormat="1" applyFont="1" applyBorder="1" applyAlignment="1">
      <alignment/>
    </xf>
    <xf numFmtId="169" fontId="2" fillId="0" borderId="4" xfId="0" applyNumberFormat="1" applyFont="1" applyBorder="1" applyAlignment="1">
      <alignment/>
    </xf>
    <xf numFmtId="168" fontId="2" fillId="0" borderId="0" xfId="0" applyNumberFormat="1" applyFont="1" applyAlignment="1">
      <alignment/>
    </xf>
    <xf numFmtId="169" fontId="2" fillId="0" borderId="5" xfId="0" applyNumberFormat="1" applyFont="1" applyBorder="1" applyAlignment="1">
      <alignment/>
    </xf>
    <xf numFmtId="177" fontId="2" fillId="0" borderId="0" xfId="0" applyNumberFormat="1" applyFont="1" applyBorder="1" applyAlignment="1">
      <alignment/>
    </xf>
    <xf numFmtId="172" fontId="2" fillId="0" borderId="5" xfId="0" applyNumberFormat="1" applyFont="1" applyBorder="1" applyAlignment="1">
      <alignment/>
    </xf>
    <xf numFmtId="180" fontId="2" fillId="0" borderId="2" xfId="0" applyNumberFormat="1" applyFont="1" applyBorder="1" applyAlignment="1">
      <alignment/>
    </xf>
    <xf numFmtId="172" fontId="2" fillId="0" borderId="2" xfId="0" applyNumberFormat="1" applyFont="1" applyBorder="1" applyAlignment="1">
      <alignment/>
    </xf>
    <xf numFmtId="180" fontId="2" fillId="0" borderId="4" xfId="0" applyNumberFormat="1" applyFont="1" applyBorder="1" applyAlignment="1">
      <alignment/>
    </xf>
    <xf numFmtId="180" fontId="2" fillId="0" borderId="0" xfId="0" applyNumberFormat="1" applyFont="1" applyBorder="1" applyAlignment="1">
      <alignment/>
    </xf>
    <xf numFmtId="164" fontId="2" fillId="0" borderId="0" xfId="0" applyFont="1" applyBorder="1" applyAlignment="1">
      <alignment horizontal="left" wrapText="1"/>
    </xf>
    <xf numFmtId="181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64" fontId="5" fillId="0" borderId="0" xfId="0" applyFont="1" applyAlignment="1">
      <alignment vertical="top"/>
    </xf>
    <xf numFmtId="164" fontId="23" fillId="3" borderId="0" xfId="0" applyFont="1" applyFill="1" applyBorder="1" applyAlignment="1">
      <alignment horizontal="center" vertical="center"/>
    </xf>
    <xf numFmtId="164" fontId="4" fillId="0" borderId="0" xfId="0" applyFont="1" applyAlignment="1">
      <alignment/>
    </xf>
    <xf numFmtId="164" fontId="5" fillId="0" borderId="0" xfId="0" applyFont="1" applyAlignment="1">
      <alignment horizontal="right" wrapText="1"/>
    </xf>
    <xf numFmtId="164" fontId="2" fillId="0" borderId="9" xfId="0" applyFont="1" applyBorder="1" applyAlignment="1">
      <alignment/>
    </xf>
    <xf numFmtId="164" fontId="4" fillId="0" borderId="0" xfId="0" applyFont="1" applyAlignment="1">
      <alignment horizontal="center"/>
    </xf>
    <xf numFmtId="164" fontId="24" fillId="2" borderId="0" xfId="22" applyFont="1" applyFill="1" applyBorder="1" applyAlignment="1">
      <alignment horizontal="center" vertical="center"/>
      <protection/>
    </xf>
    <xf numFmtId="164" fontId="13" fillId="4" borderId="0" xfId="22" applyFont="1" applyFill="1" applyBorder="1" applyAlignment="1">
      <alignment horizontal="right" vertical="center" wrapText="1"/>
      <protection/>
    </xf>
    <xf numFmtId="172" fontId="13" fillId="4" borderId="0" xfId="0" applyNumberFormat="1" applyFont="1" applyFill="1" applyAlignment="1">
      <alignment vertical="center"/>
    </xf>
    <xf numFmtId="164" fontId="2" fillId="0" borderId="0" xfId="0" applyFont="1" applyFill="1" applyAlignment="1">
      <alignment horizontal="right" vertical="center"/>
    </xf>
    <xf numFmtId="169" fontId="2" fillId="0" borderId="0" xfId="0" applyNumberFormat="1" applyFont="1" applyFill="1" applyAlignment="1">
      <alignment vertical="center"/>
    </xf>
    <xf numFmtId="164" fontId="1" fillId="5" borderId="0" xfId="22" applyFont="1" applyFill="1">
      <alignment/>
      <protection/>
    </xf>
    <xf numFmtId="167" fontId="18" fillId="3" borderId="5" xfId="20" applyNumberFormat="1" applyFont="1" applyFill="1" applyBorder="1" applyAlignment="1" applyProtection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_Matrix_.xls" xfId="20"/>
    <cellStyle name="Currency_Matrix_.xls" xfId="21"/>
    <cellStyle name="Normal_Matrix_.xls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514350</xdr:colOff>
      <xdr:row>26</xdr:row>
      <xdr:rowOff>180975</xdr:rowOff>
    </xdr:from>
    <xdr:to>
      <xdr:col>19</xdr:col>
      <xdr:colOff>266700</xdr:colOff>
      <xdr:row>29</xdr:row>
      <xdr:rowOff>76200</xdr:rowOff>
    </xdr:to>
    <xdr:sp fLocksText="0">
      <xdr:nvSpPr>
        <xdr:cNvPr id="1" name="TextBox 4"/>
        <xdr:cNvSpPr txBox="1">
          <a:spLocks noChangeArrowheads="1"/>
        </xdr:cNvSpPr>
      </xdr:nvSpPr>
      <xdr:spPr>
        <a:xfrm>
          <a:off x="12696825" y="5324475"/>
          <a:ext cx="2076450" cy="6381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0" i="0" u="none" baseline="0">
              <a:latin typeface="Verdana"/>
              <a:ea typeface="Verdana"/>
              <a:cs typeface="Verdana"/>
            </a:rPr>
            <a:t>not used in any calculations, but what I think the numbers should be.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"/>
  <sheetViews>
    <sheetView workbookViewId="0" topLeftCell="A1">
      <selection activeCell="A6" activeCellId="1" sqref="A2:IV2 A6"/>
    </sheetView>
  </sheetViews>
  <sheetFormatPr defaultColWidth="8.00390625" defaultRowHeight="12.75"/>
  <cols>
    <col min="1" max="1" width="7.875" style="1" customWidth="1"/>
    <col min="2" max="2" width="19.625" style="1" customWidth="1"/>
    <col min="3" max="4" width="22.625" style="1" customWidth="1"/>
    <col min="5" max="16384" width="7.875" style="1" customWidth="1"/>
  </cols>
  <sheetData>
    <row r="1" ht="43.5">
      <c r="A1" s="2" t="s">
        <v>0</v>
      </c>
    </row>
    <row r="3" spans="1:4" ht="69" customHeight="1">
      <c r="A3" s="3" t="s">
        <v>1</v>
      </c>
      <c r="B3" s="3"/>
      <c r="C3" s="3"/>
      <c r="D3" s="3"/>
    </row>
    <row r="4" spans="1:4" ht="81" customHeight="1">
      <c r="A4" s="3" t="s">
        <v>2</v>
      </c>
      <c r="B4" s="3"/>
      <c r="C4" s="3"/>
      <c r="D4" s="3"/>
    </row>
    <row r="5" spans="1:4" ht="86.25" customHeight="1">
      <c r="A5" s="3" t="s">
        <v>3</v>
      </c>
      <c r="B5" s="3"/>
      <c r="C5" s="3"/>
      <c r="D5" s="3"/>
    </row>
    <row r="6" ht="72.75" customHeight="1"/>
    <row r="11" ht="50.25" customHeight="1"/>
    <row r="13" ht="50.25" customHeight="1"/>
    <row r="14" ht="50.25" customHeight="1"/>
    <row r="15" ht="50.25" customHeight="1"/>
  </sheetData>
  <mergeCells count="3">
    <mergeCell ref="A3:D3"/>
    <mergeCell ref="A4:D4"/>
    <mergeCell ref="A5:D5"/>
  </mergeCells>
  <printOptions/>
  <pageMargins left="0.7479166666666667" right="0.7479166666666667" top="0.9840277777777778" bottom="0.984027777777778" header="0.5118055555555556" footer="0.5118055555555556"/>
  <pageSetup fitToHeight="1" fitToWidth="1" horizontalDpi="300" verticalDpi="300" orientation="portrait"/>
  <headerFooter alignWithMargins="0">
    <oddFooter>&amp;C&amp;"Arial,Italic"page &amp;P of &amp;N&amp;R&amp;"Arial,Italic"&amp;D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4"/>
  <sheetViews>
    <sheetView tabSelected="1" workbookViewId="0" topLeftCell="A1">
      <pane ySplit="8145" topLeftCell="A1" activePane="bottomLeft" state="split"/>
      <selection pane="topLeft" activeCell="A1" sqref="A1"/>
      <selection pane="bottomLeft" activeCell="A2" sqref="A2:IV2"/>
    </sheetView>
  </sheetViews>
  <sheetFormatPr defaultColWidth="8.00390625" defaultRowHeight="12.75"/>
  <cols>
    <col min="1" max="1" width="26.625" style="1" customWidth="1"/>
    <col min="2" max="2" width="11.375" style="1" customWidth="1"/>
    <col min="3" max="3" width="9.75390625" style="1" customWidth="1"/>
    <col min="4" max="4" width="14.375" style="1" customWidth="1"/>
    <col min="5" max="5" width="13.375" style="1" customWidth="1"/>
    <col min="6" max="6" width="11.75390625" style="1" customWidth="1"/>
    <col min="7" max="7" width="12.25390625" style="1" customWidth="1"/>
    <col min="8" max="8" width="12.625" style="1" customWidth="1"/>
    <col min="9" max="9" width="10.25390625" style="1" customWidth="1"/>
    <col min="10" max="10" width="11.875" style="1" customWidth="1"/>
    <col min="11" max="16384" width="7.875" style="1" customWidth="1"/>
  </cols>
  <sheetData>
    <row r="1" spans="1:15" ht="24.75">
      <c r="A1" s="4" t="s">
        <v>4</v>
      </c>
      <c r="B1" s="4"/>
      <c r="C1" s="4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8" ht="31.5" customHeight="1">
      <c r="A2" s="6" t="s">
        <v>5</v>
      </c>
      <c r="B2" s="6"/>
      <c r="C2" s="6"/>
      <c r="D2" s="6"/>
      <c r="E2" s="6"/>
      <c r="F2" s="6"/>
      <c r="G2" s="6"/>
      <c r="H2" s="7"/>
    </row>
    <row r="3" spans="1:15" s="10" customFormat="1" ht="19.5" customHeight="1">
      <c r="A3" s="8" t="s">
        <v>6</v>
      </c>
      <c r="B3" s="8"/>
      <c r="C3" s="8"/>
      <c r="D3" s="8"/>
      <c r="E3" s="8"/>
      <c r="F3" s="8"/>
      <c r="G3" s="8"/>
      <c r="H3" s="9"/>
      <c r="I3" s="9"/>
      <c r="J3" s="9"/>
      <c r="K3" s="9"/>
      <c r="L3" s="9"/>
      <c r="M3" s="9"/>
      <c r="N3" s="9"/>
      <c r="O3" s="9"/>
    </row>
    <row r="4" ht="15">
      <c r="D4" s="11" t="s">
        <v>7</v>
      </c>
    </row>
    <row r="5" spans="1:5" ht="17.25">
      <c r="A5" s="12" t="s">
        <v>8</v>
      </c>
      <c r="B5" s="12"/>
      <c r="C5" s="12"/>
      <c r="D5" s="13">
        <v>100000</v>
      </c>
      <c r="E5" s="1" t="s">
        <v>9</v>
      </c>
    </row>
    <row r="7" spans="1:8" ht="17.25">
      <c r="A7" s="14" t="s">
        <v>10</v>
      </c>
      <c r="B7" s="14"/>
      <c r="C7" s="14"/>
      <c r="F7" s="15"/>
      <c r="G7" s="15"/>
      <c r="H7" s="15"/>
    </row>
    <row r="8" spans="1:8" ht="17.25">
      <c r="A8" s="14"/>
      <c r="B8" s="14"/>
      <c r="C8" s="14"/>
      <c r="D8" s="16" t="s">
        <v>11</v>
      </c>
      <c r="E8" s="16"/>
      <c r="F8" s="16"/>
      <c r="G8" s="16"/>
      <c r="H8" s="15"/>
    </row>
    <row r="9" spans="4:13" ht="15">
      <c r="D9" s="17" t="s">
        <v>12</v>
      </c>
      <c r="E9" s="17" t="s">
        <v>13</v>
      </c>
      <c r="F9" s="17" t="s">
        <v>14</v>
      </c>
      <c r="G9" s="17" t="s">
        <v>15</v>
      </c>
      <c r="H9" s="5"/>
      <c r="M9" s="18"/>
    </row>
    <row r="10" spans="3:8" ht="15">
      <c r="C10" s="19" t="s">
        <v>16</v>
      </c>
      <c r="D10" s="20">
        <v>0.05</v>
      </c>
      <c r="E10" s="20">
        <v>0.05</v>
      </c>
      <c r="F10" s="20">
        <v>0.1</v>
      </c>
      <c r="G10" s="20">
        <v>0.2</v>
      </c>
      <c r="H10" s="5"/>
    </row>
    <row r="11" spans="3:8" ht="15">
      <c r="C11" s="19" t="s">
        <v>17</v>
      </c>
      <c r="D11" s="20">
        <v>0.05</v>
      </c>
      <c r="E11" s="20">
        <v>0.05</v>
      </c>
      <c r="F11" s="21"/>
      <c r="G11" s="20">
        <v>0.3</v>
      </c>
      <c r="H11" s="5"/>
    </row>
    <row r="12" spans="3:8" ht="15">
      <c r="C12" s="19" t="s">
        <v>18</v>
      </c>
      <c r="D12" s="21">
        <f>1-(D10+D11+E10+E11+E12+F10+G10+G11+G12)</f>
        <v>0.19999999999999996</v>
      </c>
      <c r="E12" s="20">
        <v>0</v>
      </c>
      <c r="F12" s="21"/>
      <c r="G12" s="20">
        <v>0</v>
      </c>
      <c r="H12" s="5"/>
    </row>
    <row r="14" spans="1:10" ht="21.75" customHeight="1">
      <c r="A14" s="22" t="s">
        <v>19</v>
      </c>
      <c r="B14" s="22"/>
      <c r="C14" s="22"/>
      <c r="D14" s="22"/>
      <c r="E14" s="22"/>
      <c r="F14" s="22"/>
      <c r="G14" s="23"/>
      <c r="H14" s="23"/>
      <c r="I14" s="23"/>
      <c r="J14" s="24"/>
    </row>
    <row r="15" spans="1:6" ht="15">
      <c r="A15" s="25" t="s">
        <v>20</v>
      </c>
      <c r="B15" s="26" t="s">
        <v>21</v>
      </c>
      <c r="C15" s="26" t="s">
        <v>22</v>
      </c>
      <c r="D15" s="26" t="s">
        <v>23</v>
      </c>
      <c r="E15" s="26" t="s">
        <v>24</v>
      </c>
      <c r="F15" s="26" t="s">
        <v>25</v>
      </c>
    </row>
    <row r="16" spans="1:6" ht="15">
      <c r="A16" s="25" t="s">
        <v>26</v>
      </c>
      <c r="B16" s="27">
        <v>0.3</v>
      </c>
      <c r="C16" s="27">
        <v>0.3</v>
      </c>
      <c r="D16" s="27">
        <v>0</v>
      </c>
      <c r="E16" s="27">
        <v>0</v>
      </c>
      <c r="F16" s="28">
        <f>1-(B16+C16+D16+E16)</f>
        <v>0.4</v>
      </c>
    </row>
    <row r="17" ht="15">
      <c r="B17" s="29"/>
    </row>
    <row r="18" spans="1:10" ht="17.25" customHeight="1">
      <c r="A18" s="22" t="s">
        <v>27</v>
      </c>
      <c r="B18" s="22"/>
      <c r="C18" s="22"/>
      <c r="D18" s="22"/>
      <c r="E18" s="22"/>
      <c r="F18" s="22"/>
      <c r="G18" s="23"/>
      <c r="H18" s="23"/>
      <c r="I18" s="23"/>
      <c r="J18" s="24"/>
    </row>
    <row r="19" spans="2:4" ht="15">
      <c r="B19" s="29" t="s">
        <v>28</v>
      </c>
      <c r="C19" s="30">
        <v>1</v>
      </c>
      <c r="D19" s="1" t="s">
        <v>29</v>
      </c>
    </row>
    <row r="20" spans="2:4" ht="15">
      <c r="B20" s="29" t="s">
        <v>30</v>
      </c>
      <c r="C20" s="31">
        <v>4</v>
      </c>
      <c r="D20" s="1" t="s">
        <v>31</v>
      </c>
    </row>
    <row r="21" spans="1:4" s="34" customFormat="1" ht="37.5" customHeight="1">
      <c r="A21" s="32" t="s">
        <v>32</v>
      </c>
      <c r="B21" s="32"/>
      <c r="C21" s="33">
        <v>0</v>
      </c>
      <c r="D21" s="34" t="s">
        <v>33</v>
      </c>
    </row>
    <row r="22" spans="1:6" ht="33.75" customHeight="1">
      <c r="A22" s="35" t="s">
        <v>34</v>
      </c>
      <c r="B22" s="35"/>
      <c r="C22" s="36">
        <v>4</v>
      </c>
      <c r="D22" s="37" t="s">
        <v>35</v>
      </c>
      <c r="F22" s="37"/>
    </row>
    <row r="23" spans="1:10" ht="15">
      <c r="A23" s="7"/>
      <c r="B23" s="7"/>
      <c r="C23" s="7"/>
      <c r="D23" s="24"/>
      <c r="E23" s="23"/>
      <c r="F23" s="23"/>
      <c r="G23" s="23"/>
      <c r="H23" s="23"/>
      <c r="I23" s="23"/>
      <c r="J23" s="24"/>
    </row>
    <row r="24" spans="1:15" s="40" customFormat="1" ht="18" customHeight="1">
      <c r="A24" s="38" t="s">
        <v>36</v>
      </c>
      <c r="B24" s="38"/>
      <c r="C24" s="38"/>
      <c r="D24" s="38"/>
      <c r="E24" s="38"/>
      <c r="F24" s="38"/>
      <c r="G24" s="38"/>
      <c r="H24" s="39"/>
      <c r="I24" s="39"/>
      <c r="J24" s="39"/>
      <c r="K24" s="39"/>
      <c r="L24" s="39"/>
      <c r="M24" s="39"/>
      <c r="N24" s="39"/>
      <c r="O24" s="39"/>
    </row>
    <row r="25" spans="1:15" s="40" customFormat="1" ht="18" customHeight="1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</row>
    <row r="26" spans="2:10" ht="18.75" customHeight="1">
      <c r="B26" s="41" t="s">
        <v>37</v>
      </c>
      <c r="C26" s="42">
        <f>SUM(C29:C40)</f>
        <v>1575</v>
      </c>
      <c r="D26" s="24"/>
      <c r="E26" s="23"/>
      <c r="F26" s="23"/>
      <c r="G26" s="23"/>
      <c r="H26" s="23"/>
      <c r="I26" s="23"/>
      <c r="J26" s="24"/>
    </row>
    <row r="27" spans="1:10" ht="15" customHeight="1">
      <c r="A27" s="7"/>
      <c r="B27" s="43" t="s">
        <v>38</v>
      </c>
      <c r="C27" s="43" t="s">
        <v>39</v>
      </c>
      <c r="D27" s="44" t="s">
        <v>40</v>
      </c>
      <c r="E27" s="44"/>
      <c r="F27" s="44" t="s">
        <v>41</v>
      </c>
      <c r="G27" s="44"/>
      <c r="H27" s="23"/>
      <c r="I27" s="23"/>
      <c r="J27" s="24"/>
    </row>
    <row r="28" spans="1:7" ht="18" customHeight="1">
      <c r="A28" s="45" t="s">
        <v>42</v>
      </c>
      <c r="B28" s="43"/>
      <c r="C28" s="43"/>
      <c r="D28" s="46" t="s">
        <v>43</v>
      </c>
      <c r="E28" s="47" t="s">
        <v>44</v>
      </c>
      <c r="F28" s="46" t="s">
        <v>43</v>
      </c>
      <c r="G28" s="47" t="s">
        <v>44</v>
      </c>
    </row>
    <row r="29" spans="1:7" ht="15">
      <c r="A29" s="29" t="s">
        <v>45</v>
      </c>
      <c r="B29" s="48">
        <f>D10*$D$5</f>
        <v>5000</v>
      </c>
      <c r="C29" s="29">
        <f>CEILING(B29/Examples!$B$5,1)</f>
        <v>167</v>
      </c>
      <c r="D29" s="49">
        <f>Examples!D37</f>
        <v>250</v>
      </c>
      <c r="E29" s="50">
        <f>B29*D29</f>
        <v>1250000</v>
      </c>
      <c r="F29" s="51">
        <f>Examples!D40</f>
        <v>0.10815999999999998</v>
      </c>
      <c r="G29" s="52">
        <f>F29*B29</f>
        <v>540.7999999999998</v>
      </c>
    </row>
    <row r="30" spans="1:7" ht="15">
      <c r="A30" s="29" t="s">
        <v>46</v>
      </c>
      <c r="B30" s="48">
        <f>D11*$D$5</f>
        <v>5000</v>
      </c>
      <c r="C30" s="29">
        <f>CEILING(B30/Examples!$B$95,1)</f>
        <v>25</v>
      </c>
      <c r="D30" s="49">
        <f>Examples!D127</f>
        <v>219.9</v>
      </c>
      <c r="E30" s="50">
        <f>B30*D30</f>
        <v>1099500</v>
      </c>
      <c r="F30" s="51">
        <f>Examples!D130</f>
        <v>0.099744</v>
      </c>
      <c r="G30" s="52">
        <f>F30*B30</f>
        <v>498.71999999999997</v>
      </c>
    </row>
    <row r="31" spans="1:7" ht="15">
      <c r="A31" s="29" t="s">
        <v>47</v>
      </c>
      <c r="B31" s="48">
        <f>D12*$D$5</f>
        <v>19999.999999999996</v>
      </c>
      <c r="C31" s="29">
        <f>CEILING(B31/Examples!$B$169,1)</f>
        <v>40</v>
      </c>
      <c r="D31" s="49">
        <f>Examples!D201</f>
        <v>216.7</v>
      </c>
      <c r="E31" s="50">
        <f>B31*D31</f>
        <v>4333999.999999999</v>
      </c>
      <c r="F31" s="51">
        <f>Examples!D204</f>
        <v>0.10014719999999999</v>
      </c>
      <c r="G31" s="52">
        <f>F31*B31</f>
        <v>2002.9439999999995</v>
      </c>
    </row>
    <row r="32" spans="1:7" ht="15">
      <c r="A32" s="45" t="s">
        <v>48</v>
      </c>
      <c r="B32" s="53"/>
      <c r="C32" s="45"/>
      <c r="D32" s="54"/>
      <c r="E32" s="55"/>
      <c r="F32" s="56"/>
      <c r="G32" s="57"/>
    </row>
    <row r="33" spans="1:7" ht="15">
      <c r="A33" s="29" t="s">
        <v>45</v>
      </c>
      <c r="B33" s="48">
        <f>E10*$D$5</f>
        <v>5000</v>
      </c>
      <c r="C33" s="29">
        <f>CEILING(B33/Examples!$B$5,1)</f>
        <v>167</v>
      </c>
      <c r="D33" s="49">
        <f>Examples!D57</f>
        <v>426.3333333333333</v>
      </c>
      <c r="E33" s="50">
        <f>B33*D33</f>
        <v>2131666.6666666665</v>
      </c>
      <c r="F33" s="51">
        <f>Examples!D59</f>
        <v>0</v>
      </c>
      <c r="G33" s="52">
        <f>F33*B33</f>
        <v>0</v>
      </c>
    </row>
    <row r="34" spans="1:7" ht="15">
      <c r="A34" s="29" t="s">
        <v>46</v>
      </c>
      <c r="B34" s="48">
        <f>E11*$D$5</f>
        <v>5000</v>
      </c>
      <c r="C34" s="29">
        <f>CEILING(B34/Examples!$B$95,1)</f>
        <v>25</v>
      </c>
      <c r="D34" s="49">
        <f>Examples!D147</f>
        <v>309.65</v>
      </c>
      <c r="E34" s="50">
        <f>B34*D34</f>
        <v>1548250</v>
      </c>
      <c r="F34" s="51">
        <f>Examples!D149</f>
        <v>0</v>
      </c>
      <c r="G34" s="52">
        <f>F34*B34</f>
        <v>0</v>
      </c>
    </row>
    <row r="35" spans="1:7" ht="15">
      <c r="A35" s="29" t="s">
        <v>47</v>
      </c>
      <c r="B35" s="48">
        <f>E12*$D$5</f>
        <v>0</v>
      </c>
      <c r="C35" s="29">
        <f>CEILING(B35/Examples!$B$169,1)</f>
        <v>0</v>
      </c>
      <c r="D35" s="49">
        <f>Examples!D221</f>
        <v>296.14</v>
      </c>
      <c r="E35" s="50">
        <f>B35*D35</f>
        <v>0</v>
      </c>
      <c r="F35" s="51">
        <f>Examples!D223</f>
        <v>0</v>
      </c>
      <c r="G35" s="52">
        <f>F35*B35</f>
        <v>0</v>
      </c>
    </row>
    <row r="36" spans="1:7" ht="15">
      <c r="A36" s="29" t="s">
        <v>49</v>
      </c>
      <c r="B36" s="48">
        <f>F10*$D$5</f>
        <v>10000</v>
      </c>
      <c r="C36" s="29">
        <f>CEILING(B36/Examples!$B$5,1)</f>
        <v>334</v>
      </c>
      <c r="D36" s="49">
        <f>Examples!D89</f>
        <v>306.0833333333333</v>
      </c>
      <c r="E36" s="50">
        <f>B36*D36</f>
        <v>3060833.333333333</v>
      </c>
      <c r="F36" s="51">
        <f>Examples!D92</f>
        <v>0</v>
      </c>
      <c r="G36" s="52">
        <f>F36*B36</f>
        <v>0</v>
      </c>
    </row>
    <row r="37" spans="1:7" ht="15">
      <c r="A37" s="45" t="s">
        <v>50</v>
      </c>
      <c r="B37" s="53"/>
      <c r="C37" s="45"/>
      <c r="D37" s="54"/>
      <c r="E37" s="55"/>
      <c r="F37" s="56"/>
      <c r="G37" s="57"/>
    </row>
    <row r="38" spans="1:7" ht="15">
      <c r="A38" s="29" t="s">
        <v>45</v>
      </c>
      <c r="B38" s="48">
        <f>G10*$D$5</f>
        <v>20000</v>
      </c>
      <c r="C38" s="29">
        <f>CEILING(B38/Examples!$B$5,1)</f>
        <v>667</v>
      </c>
      <c r="D38" s="49">
        <f>Examples!D73</f>
        <v>268</v>
      </c>
      <c r="E38" s="50">
        <f>B38*D38</f>
        <v>5360000</v>
      </c>
      <c r="F38" s="51">
        <f>Examples!D75</f>
        <v>0.7210666666666667</v>
      </c>
      <c r="G38" s="52">
        <f>F38*B38</f>
        <v>14421.333333333336</v>
      </c>
    </row>
    <row r="39" spans="1:7" ht="15">
      <c r="A39" s="29" t="s">
        <v>46</v>
      </c>
      <c r="B39" s="48">
        <f>G11*$D$5</f>
        <v>30000</v>
      </c>
      <c r="C39" s="29">
        <f>CEILING(B39/Examples!$B$95,1)</f>
        <v>150</v>
      </c>
      <c r="D39" s="49">
        <f>Examples!D163</f>
        <v>223.4</v>
      </c>
      <c r="E39" s="50">
        <f>B39*D39</f>
        <v>6702000</v>
      </c>
      <c r="F39" s="51">
        <f>Examples!D165</f>
        <v>0.66496</v>
      </c>
      <c r="G39" s="52">
        <f>F39*B39</f>
        <v>19948.8</v>
      </c>
    </row>
    <row r="40" spans="1:7" ht="15">
      <c r="A40" s="29" t="s">
        <v>47</v>
      </c>
      <c r="B40" s="48">
        <f>G12*$D$5</f>
        <v>0</v>
      </c>
      <c r="C40" s="29">
        <f>CEILING(B40/Examples!$B$169,1)</f>
        <v>0</v>
      </c>
      <c r="D40" s="49">
        <f>Examples!D237</f>
        <v>220.14</v>
      </c>
      <c r="E40" s="50">
        <f>B40*D40</f>
        <v>0</v>
      </c>
      <c r="F40" s="51">
        <f>Examples!D239</f>
        <v>0.6676480000000001</v>
      </c>
      <c r="G40" s="52">
        <f>F40*B40</f>
        <v>0</v>
      </c>
    </row>
    <row r="41" spans="1:7" ht="15">
      <c r="A41" s="58" t="s">
        <v>51</v>
      </c>
      <c r="B41" s="53"/>
      <c r="C41" s="59"/>
      <c r="D41" s="54"/>
      <c r="E41" s="55"/>
      <c r="F41" s="60"/>
      <c r="G41" s="57"/>
    </row>
    <row r="42" spans="1:7" ht="15">
      <c r="A42" s="29" t="s">
        <v>52</v>
      </c>
      <c r="B42" s="48">
        <f>D5</f>
        <v>100000</v>
      </c>
      <c r="C42" s="29"/>
      <c r="D42" s="49"/>
      <c r="E42" s="50"/>
      <c r="F42" s="61">
        <f>Estimated_Repair_Cost</f>
        <v>0.32805555555555554</v>
      </c>
      <c r="G42" s="52">
        <f>F42*B42</f>
        <v>32805.555555555555</v>
      </c>
    </row>
    <row r="43" spans="1:7" ht="19.5" customHeight="1">
      <c r="A43" s="58" t="s">
        <v>53</v>
      </c>
      <c r="B43" s="53"/>
      <c r="C43" s="59"/>
      <c r="D43" s="62" t="s">
        <v>54</v>
      </c>
      <c r="E43" s="55"/>
      <c r="F43" s="63" t="s">
        <v>54</v>
      </c>
      <c r="G43" s="57"/>
    </row>
    <row r="44" spans="1:7" ht="15">
      <c r="A44" s="29" t="s">
        <v>21</v>
      </c>
      <c r="B44" s="48"/>
      <c r="C44" s="29">
        <f>CEILING(Example_GSM*$C$26,1)</f>
        <v>473</v>
      </c>
      <c r="D44" s="49">
        <f>GSM_Cost</f>
        <v>100</v>
      </c>
      <c r="E44" s="50">
        <f>C44*D44</f>
        <v>47300</v>
      </c>
      <c r="F44" s="51">
        <f>GSM_Monthly_Cost</f>
        <v>50</v>
      </c>
      <c r="G44" s="52">
        <f>F44*C44</f>
        <v>23650</v>
      </c>
    </row>
    <row r="45" spans="1:7" ht="15">
      <c r="A45" s="29" t="s">
        <v>22</v>
      </c>
      <c r="B45" s="48"/>
      <c r="C45" s="29">
        <f>CEILING(Example_DSL*$C$26,1)</f>
        <v>473</v>
      </c>
      <c r="D45" s="49">
        <f>DSL_Cost</f>
        <v>200</v>
      </c>
      <c r="E45" s="50">
        <f>C45*D45</f>
        <v>94600</v>
      </c>
      <c r="F45" s="51">
        <f>DSL_Monthly_Cost</f>
        <v>40</v>
      </c>
      <c r="G45" s="52">
        <f>F45*C45</f>
        <v>18920</v>
      </c>
    </row>
    <row r="46" spans="1:7" ht="15">
      <c r="A46" s="29" t="s">
        <v>23</v>
      </c>
      <c r="B46" s="48"/>
      <c r="C46" s="29">
        <f>CEILING(Example_VSAT*$C$26,1)</f>
        <v>0</v>
      </c>
      <c r="D46" s="49">
        <f>VSAT_Cost</f>
        <v>2000</v>
      </c>
      <c r="E46" s="50">
        <f>C46*D46</f>
        <v>0</v>
      </c>
      <c r="F46" s="51">
        <f>VSAT_Monthly_Cost</f>
        <v>100</v>
      </c>
      <c r="G46" s="52">
        <f>F46*C46</f>
        <v>0</v>
      </c>
    </row>
    <row r="47" spans="1:7" ht="15">
      <c r="A47" s="29" t="s">
        <v>24</v>
      </c>
      <c r="B47" s="48"/>
      <c r="C47" s="29">
        <f>CEILING(Example_Other*$C$26,1)</f>
        <v>0</v>
      </c>
      <c r="D47" s="49">
        <f>Other_Cost</f>
        <v>800</v>
      </c>
      <c r="E47" s="50">
        <f>C47*D47</f>
        <v>0</v>
      </c>
      <c r="F47" s="51">
        <f>Other_monthly_cost</f>
        <v>20</v>
      </c>
      <c r="G47" s="52">
        <f>F47*C47</f>
        <v>0</v>
      </c>
    </row>
    <row r="48" spans="1:7" ht="15">
      <c r="A48" s="64" t="s">
        <v>55</v>
      </c>
      <c r="B48" s="65"/>
      <c r="C48" s="64"/>
      <c r="D48" s="66"/>
      <c r="E48" s="67">
        <f>SUM(E29:E47)</f>
        <v>25628150</v>
      </c>
      <c r="F48" s="68"/>
      <c r="G48" s="67">
        <f>SUM(G29:G47)</f>
        <v>112788.15288888889</v>
      </c>
    </row>
    <row r="49" spans="1:7" ht="15">
      <c r="A49" s="69"/>
      <c r="B49" s="24"/>
      <c r="C49" s="69"/>
      <c r="D49" s="49"/>
      <c r="E49" s="50"/>
      <c r="F49" s="51"/>
      <c r="G49" s="24"/>
    </row>
    <row r="50" spans="1:7" ht="15">
      <c r="A50" s="58" t="s">
        <v>56</v>
      </c>
      <c r="B50" s="57"/>
      <c r="C50" s="58"/>
      <c r="D50" s="54"/>
      <c r="E50" s="55"/>
      <c r="F50" s="56"/>
      <c r="G50" s="57"/>
    </row>
    <row r="51" spans="1:7" ht="15">
      <c r="A51" s="29" t="s">
        <v>57</v>
      </c>
      <c r="B51" s="48">
        <f>D5</f>
        <v>100000</v>
      </c>
      <c r="C51" s="29"/>
      <c r="D51" s="49"/>
      <c r="E51" s="50">
        <f>B51*D51</f>
        <v>0</v>
      </c>
      <c r="F51" s="51"/>
      <c r="G51" s="24"/>
    </row>
    <row r="52" spans="1:7" ht="15">
      <c r="A52" s="59" t="s">
        <v>58</v>
      </c>
      <c r="B52" s="59"/>
      <c r="C52" s="59"/>
      <c r="D52" s="54"/>
      <c r="E52" s="55">
        <f>'Program Costs'!C29</f>
        <v>0</v>
      </c>
      <c r="F52" s="56"/>
      <c r="G52" s="57"/>
    </row>
    <row r="53" spans="1:7" ht="15">
      <c r="A53" s="29"/>
      <c r="B53" s="29"/>
      <c r="C53" s="29"/>
      <c r="D53" s="70"/>
      <c r="E53" s="50"/>
      <c r="F53" s="70"/>
      <c r="G53" s="24"/>
    </row>
    <row r="54" spans="1:7" s="34" customFormat="1" ht="27" customHeight="1">
      <c r="A54" s="71" t="s">
        <v>59</v>
      </c>
      <c r="B54" s="71"/>
      <c r="C54" s="71"/>
      <c r="D54" s="72"/>
      <c r="E54" s="73">
        <f>SUM(E48:E52)</f>
        <v>25628150</v>
      </c>
      <c r="F54" s="74"/>
      <c r="G54" s="74"/>
    </row>
    <row r="55" spans="1:7" s="34" customFormat="1" ht="25.5" customHeight="1">
      <c r="A55" s="71" t="s">
        <v>60</v>
      </c>
      <c r="B55" s="75"/>
      <c r="C55" s="75"/>
      <c r="D55" s="76"/>
      <c r="E55" s="77"/>
      <c r="F55" s="74"/>
      <c r="G55" s="73">
        <f>SUM(G48:G52)</f>
        <v>112788.15288888889</v>
      </c>
    </row>
    <row r="56" spans="1:3" ht="15">
      <c r="A56" s="29"/>
      <c r="B56" s="29"/>
      <c r="C56" s="29"/>
    </row>
    <row r="57" spans="1:7" ht="17.25">
      <c r="A57" s="78" t="s">
        <v>61</v>
      </c>
      <c r="B57" s="78"/>
      <c r="C57" s="78"/>
      <c r="D57" s="16" t="s">
        <v>40</v>
      </c>
      <c r="E57" s="16"/>
      <c r="F57" s="16" t="s">
        <v>41</v>
      </c>
      <c r="G57" s="16"/>
    </row>
    <row r="58" spans="1:7" ht="15">
      <c r="A58" s="79"/>
      <c r="B58" s="80" t="s">
        <v>62</v>
      </c>
      <c r="C58" s="80"/>
      <c r="D58" s="81">
        <f>D5*Laptop_Cost</f>
        <v>20900000</v>
      </c>
      <c r="E58" s="82">
        <f>D58/D62</f>
        <v>0.8155095080994922</v>
      </c>
      <c r="F58" s="81"/>
      <c r="G58" s="82">
        <f>F58/$F$62</f>
        <v>0</v>
      </c>
    </row>
    <row r="59" spans="1:7" ht="15">
      <c r="A59" s="79"/>
      <c r="B59" s="80" t="s">
        <v>63</v>
      </c>
      <c r="C59" s="80"/>
      <c r="D59" s="79"/>
      <c r="E59" s="82">
        <f>D59/$F$62</f>
        <v>0</v>
      </c>
      <c r="F59" s="81">
        <f>D5*'Laptop Costs'!B27</f>
        <v>32805.555555555555</v>
      </c>
      <c r="G59" s="82">
        <f>F59/$F$62</f>
        <v>0.2908599415390136</v>
      </c>
    </row>
    <row r="60" spans="1:7" ht="15">
      <c r="A60" s="79"/>
      <c r="B60" s="80" t="s">
        <v>64</v>
      </c>
      <c r="C60" s="80"/>
      <c r="D60" s="81">
        <f>((D10+E10+G10)*Examples!D38+F10*Examples!D90+(D11+E11+G11)*Examples!D128+(D12+E12+G12)*Examples!D202)*D5+SUM(E44:E47)</f>
        <v>2214700</v>
      </c>
      <c r="E60" s="82">
        <f>D60/$D$62</f>
        <v>0.08641669414296389</v>
      </c>
      <c r="F60" s="81">
        <f>SUM(G44:G47)</f>
        <v>42570</v>
      </c>
      <c r="G60" s="82">
        <f>F60/$F$62</f>
        <v>0.3774332579232592</v>
      </c>
    </row>
    <row r="61" spans="1:9" ht="15">
      <c r="A61" s="79"/>
      <c r="B61" s="83" t="s">
        <v>65</v>
      </c>
      <c r="C61" s="83"/>
      <c r="D61" s="81">
        <f>(D10*Examples!D39+E10*Examples!D58+F10*Examples!D91+G10*Examples!D74+D11*Examples!D129+E11*Examples!D148+G11*Examples!D164+D12*Examples!D203+E12*Examples!D222+G12*Examples!D238)*D5</f>
        <v>2513450</v>
      </c>
      <c r="E61" s="82">
        <f>D61/$D$62</f>
        <v>0.09807379775754395</v>
      </c>
      <c r="F61" s="84">
        <f>SUM(G29:G40)</f>
        <v>37412.59733333334</v>
      </c>
      <c r="G61" s="82">
        <f>F61/$F$62</f>
        <v>0.3317068005377271</v>
      </c>
      <c r="H61" s="85"/>
      <c r="I61" s="86"/>
    </row>
    <row r="62" spans="1:9" ht="15">
      <c r="A62" s="79"/>
      <c r="B62" s="83" t="s">
        <v>66</v>
      </c>
      <c r="C62" s="83"/>
      <c r="D62" s="87">
        <f>SUM(D58:D61)</f>
        <v>25628150</v>
      </c>
      <c r="E62" s="88"/>
      <c r="F62" s="87">
        <f>SUM(F58:F61)</f>
        <v>112788.1528888889</v>
      </c>
      <c r="G62" s="88"/>
      <c r="H62" s="85"/>
      <c r="I62" s="86"/>
    </row>
    <row r="64" spans="1:8" ht="17.25">
      <c r="A64" s="14"/>
      <c r="B64" s="14"/>
      <c r="C64" s="14"/>
      <c r="D64" s="18"/>
      <c r="E64" s="18"/>
      <c r="F64" s="18"/>
      <c r="G64" s="18"/>
      <c r="H64" s="18"/>
    </row>
  </sheetData>
  <mergeCells count="14">
    <mergeCell ref="A2:G2"/>
    <mergeCell ref="A3:G3"/>
    <mergeCell ref="D8:G8"/>
    <mergeCell ref="A14:F14"/>
    <mergeCell ref="A18:F18"/>
    <mergeCell ref="A21:B21"/>
    <mergeCell ref="A22:B22"/>
    <mergeCell ref="A24:G24"/>
    <mergeCell ref="B27:B28"/>
    <mergeCell ref="C27:C28"/>
    <mergeCell ref="D27:E27"/>
    <mergeCell ref="F27:G27"/>
    <mergeCell ref="D57:E57"/>
    <mergeCell ref="F57:G57"/>
  </mergeCells>
  <printOptions/>
  <pageMargins left="0.7479166666666667" right="0.7479166666666667" top="0.984027777777778" bottom="0.984027777777778" header="0.5118055555555556" footer="0.5118055555555556"/>
  <pageSetup fitToHeight="2" fitToWidth="1" horizontalDpi="300" verticalDpi="300" orientation="portrait"/>
  <headerFooter alignWithMargins="0">
    <oddHeader>&amp;L&amp;"Arial,Bold"&amp;12Country Estimate&amp;R&amp;"Arial,Bold"&amp;12OLPC Deployment Workbook</oddHeader>
    <oddFooter>&amp;C&amp;"Arial,Italic"page &amp;P of &amp;N&amp;R&amp;"Arial,Italic"&amp;D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79"/>
  <sheetViews>
    <sheetView workbookViewId="0" topLeftCell="A1">
      <pane ySplit="15" topLeftCell="A16" activePane="bottomLeft" state="frozen"/>
      <selection pane="topLeft" activeCell="A1" sqref="A1"/>
      <selection pane="bottomLeft" activeCell="H31" activeCellId="1" sqref="A2:IV2 H31"/>
    </sheetView>
  </sheetViews>
  <sheetFormatPr defaultColWidth="8.00390625" defaultRowHeight="12.75"/>
  <cols>
    <col min="1" max="1" width="33.25390625" style="18" customWidth="1"/>
    <col min="2" max="2" width="9.875" style="18" customWidth="1"/>
    <col min="3" max="3" width="7.75390625" style="18" customWidth="1"/>
    <col min="4" max="4" width="13.00390625" style="18" customWidth="1"/>
    <col min="5" max="5" width="10.375" style="18" customWidth="1"/>
    <col min="6" max="6" width="7.25390625" style="89" customWidth="1"/>
    <col min="7" max="7" width="7.25390625" style="18" customWidth="1"/>
    <col min="8" max="8" width="15.625" style="18" customWidth="1"/>
    <col min="9" max="9" width="7.625" style="18" customWidth="1"/>
    <col min="10" max="10" width="9.75390625" style="18" customWidth="1"/>
    <col min="11" max="16384" width="7.625" style="18" customWidth="1"/>
  </cols>
  <sheetData>
    <row r="1" ht="24.75">
      <c r="A1" s="4" t="s">
        <v>67</v>
      </c>
    </row>
    <row r="2" spans="1:8" ht="19.5">
      <c r="A2" s="90" t="s">
        <v>6</v>
      </c>
      <c r="B2" s="90"/>
      <c r="C2" s="90"/>
      <c r="D2" s="90"/>
      <c r="E2" s="90"/>
      <c r="F2" s="91"/>
      <c r="G2" s="5"/>
      <c r="H2" s="1"/>
    </row>
    <row r="4" spans="2:6" s="1" customFormat="1" ht="15">
      <c r="B4" s="11" t="s">
        <v>7</v>
      </c>
      <c r="F4" s="40"/>
    </row>
    <row r="5" spans="1:6" s="1" customFormat="1" ht="15">
      <c r="A5" s="92" t="s">
        <v>68</v>
      </c>
      <c r="B5" s="93">
        <v>60</v>
      </c>
      <c r="C5" s="1" t="s">
        <v>69</v>
      </c>
      <c r="F5" s="40"/>
    </row>
    <row r="6" spans="1:6" s="1" customFormat="1" ht="15">
      <c r="A6" s="29"/>
      <c r="B6" s="11"/>
      <c r="F6" s="40"/>
    </row>
    <row r="7" spans="1:6" s="1" customFormat="1" ht="15">
      <c r="A7" s="29" t="s">
        <v>53</v>
      </c>
      <c r="B7" s="94" t="s">
        <v>22</v>
      </c>
      <c r="C7" s="1" t="s">
        <v>70</v>
      </c>
      <c r="F7" s="40"/>
    </row>
    <row r="8" spans="1:6" s="1" customFormat="1" ht="15">
      <c r="A8" s="29"/>
      <c r="B8" s="11"/>
      <c r="F8" s="40"/>
    </row>
    <row r="9" spans="1:6" s="1" customFormat="1" ht="15">
      <c r="A9" s="29" t="s">
        <v>71</v>
      </c>
      <c r="B9" s="94">
        <v>1</v>
      </c>
      <c r="C9" s="1" t="s">
        <v>72</v>
      </c>
      <c r="F9" s="40"/>
    </row>
    <row r="10" spans="1:6" s="1" customFormat="1" ht="15">
      <c r="A10" s="29"/>
      <c r="B10" s="23"/>
      <c r="C10" s="1" t="s">
        <v>73</v>
      </c>
      <c r="F10" s="40"/>
    </row>
    <row r="11" spans="1:6" s="1" customFormat="1" ht="15">
      <c r="A11" s="29" t="s">
        <v>74</v>
      </c>
      <c r="B11" s="94">
        <v>8</v>
      </c>
      <c r="C11" s="1" t="s">
        <v>31</v>
      </c>
      <c r="F11" s="40"/>
    </row>
    <row r="12" spans="1:6" s="1" customFormat="1" ht="15">
      <c r="A12" s="29"/>
      <c r="B12" s="23"/>
      <c r="F12" s="40"/>
    </row>
    <row r="13" spans="1:6" s="1" customFormat="1" ht="15">
      <c r="A13" s="29" t="s">
        <v>75</v>
      </c>
      <c r="B13" s="95">
        <v>0</v>
      </c>
      <c r="C13" s="1" t="s">
        <v>76</v>
      </c>
      <c r="F13" s="40"/>
    </row>
    <row r="14" spans="1:6" s="1" customFormat="1" ht="15">
      <c r="A14" s="92" t="s">
        <v>77</v>
      </c>
      <c r="B14" s="96">
        <v>4</v>
      </c>
      <c r="C14" s="37" t="s">
        <v>35</v>
      </c>
      <c r="F14" s="40"/>
    </row>
    <row r="15" spans="1:6" s="1" customFormat="1" ht="12" customHeight="1">
      <c r="A15" s="92"/>
      <c r="B15" s="97"/>
      <c r="C15" s="37"/>
      <c r="F15" s="40"/>
    </row>
    <row r="16" spans="1:6" s="1" customFormat="1" ht="12" customHeight="1">
      <c r="A16" s="92"/>
      <c r="B16" s="97"/>
      <c r="C16" s="37"/>
      <c r="F16" s="40"/>
    </row>
    <row r="17" spans="1:7" s="1" customFormat="1" ht="19.5">
      <c r="A17" s="98" t="s">
        <v>78</v>
      </c>
      <c r="B17" s="98"/>
      <c r="C17" s="98"/>
      <c r="D17" s="98"/>
      <c r="E17" s="98"/>
      <c r="F17" s="91"/>
      <c r="G17" s="5"/>
    </row>
    <row r="18" spans="1:7" s="1" customFormat="1" ht="15">
      <c r="A18" s="5"/>
      <c r="B18" s="5"/>
      <c r="C18" s="5"/>
      <c r="D18" s="5"/>
      <c r="E18" s="5"/>
      <c r="F18" s="91"/>
      <c r="G18" s="5"/>
    </row>
    <row r="19" spans="1:6" s="1" customFormat="1" ht="15">
      <c r="A19" s="99" t="s">
        <v>79</v>
      </c>
      <c r="B19" s="100">
        <f>IF(Laptops_in_school&lt;301,1,IF(Laptops_in_school&lt;2001,1,2))</f>
        <v>1</v>
      </c>
      <c r="C19" s="79" t="str">
        <f>IF(Laptops_in_school&lt;300,"small server","large server")</f>
        <v>small server</v>
      </c>
      <c r="D19" s="79"/>
      <c r="F19" s="40"/>
    </row>
    <row r="20" spans="1:6" s="1" customFormat="1" ht="15">
      <c r="A20" s="99" t="s">
        <v>80</v>
      </c>
      <c r="B20" s="100">
        <f>IF(Laptops_in_school&lt;300,CEILING(Laptops_in_school/50,1),IF(Laptops_in_school&lt;1200,CEILING(Laptops_in_school/75,1),CEILING(Laptops_in_school/100,1)))</f>
        <v>2</v>
      </c>
      <c r="C20" s="79"/>
      <c r="D20" s="79"/>
      <c r="F20" s="40"/>
    </row>
    <row r="21" spans="1:6" s="1" customFormat="1" ht="15">
      <c r="A21" s="99" t="s">
        <v>81</v>
      </c>
      <c r="B21" s="100">
        <f>IF(B20=1,0,CEILING(B20/4,1))</f>
        <v>1</v>
      </c>
      <c r="C21" s="79"/>
      <c r="D21" s="79"/>
      <c r="F21" s="40"/>
    </row>
    <row r="22" s="1" customFormat="1" ht="15">
      <c r="F22" s="40"/>
    </row>
    <row r="23" spans="1:12" ht="19.5">
      <c r="A23" s="101" t="s">
        <v>82</v>
      </c>
      <c r="B23" s="1"/>
      <c r="C23" s="1"/>
      <c r="D23" s="1"/>
      <c r="E23" s="1"/>
      <c r="F23" s="40"/>
      <c r="G23" s="1"/>
      <c r="H23" s="1"/>
      <c r="I23" s="1"/>
      <c r="J23" s="1"/>
      <c r="K23" s="1"/>
      <c r="L23" s="1"/>
    </row>
    <row r="24" spans="1:6" s="1" customFormat="1" ht="15">
      <c r="A24" s="102" t="s">
        <v>83</v>
      </c>
      <c r="B24" s="103">
        <f>(Laptops_in_school*W_laptop/(1000*Charge_Time))</f>
        <v>1.2</v>
      </c>
      <c r="C24" s="40" t="s">
        <v>84</v>
      </c>
      <c r="D24" s="104">
        <f>W_laptop*Laptops_in_school*Charges_per_day/1000</f>
        <v>2.4</v>
      </c>
      <c r="E24" s="105" t="s">
        <v>85</v>
      </c>
      <c r="F24" s="40"/>
    </row>
    <row r="25" spans="1:6" s="1" customFormat="1" ht="15">
      <c r="A25" s="92" t="s">
        <v>86</v>
      </c>
      <c r="B25" s="106">
        <f>IF(EXACT($C$19,"small server"),W_small_server,W_large_server)*$B$19/1000</f>
        <v>0.022</v>
      </c>
      <c r="C25" s="1" t="s">
        <v>84</v>
      </c>
      <c r="D25" s="107">
        <f>B25*Infrastructure_per_day</f>
        <v>0.176</v>
      </c>
      <c r="E25" s="97" t="s">
        <v>85</v>
      </c>
      <c r="F25" s="40"/>
    </row>
    <row r="26" spans="1:6" s="1" customFormat="1" ht="15">
      <c r="A26" s="92" t="s">
        <v>87</v>
      </c>
      <c r="B26" s="106">
        <f>(($B$21*W_SW)+($B$20*W_AP)+IF(EXACT($B$7,"DSL"),W_DSL,IF(EXACT($B$7,"VSAT"),W_VSAT,0)))/1000</f>
        <v>0.045</v>
      </c>
      <c r="C26" s="1" t="s">
        <v>84</v>
      </c>
      <c r="D26" s="107">
        <f>B26*Infrastructure_per_day</f>
        <v>0.36</v>
      </c>
      <c r="E26" s="97" t="s">
        <v>85</v>
      </c>
      <c r="F26" s="40"/>
    </row>
    <row r="27" spans="1:6" s="1" customFormat="1" ht="15">
      <c r="A27" s="92"/>
      <c r="B27" s="106"/>
      <c r="D27" s="107"/>
      <c r="E27" s="97"/>
      <c r="F27" s="40"/>
    </row>
    <row r="28" spans="1:6" s="1" customFormat="1" ht="15" customHeight="1">
      <c r="A28" s="97"/>
      <c r="B28" s="97"/>
      <c r="C28" s="97"/>
      <c r="D28" s="97"/>
      <c r="E28" s="97"/>
      <c r="F28" s="40"/>
    </row>
    <row r="29" spans="1:11" ht="28.5" customHeight="1">
      <c r="A29" s="108" t="s">
        <v>88</v>
      </c>
      <c r="B29" s="109">
        <f>SUM(B24:B26)</f>
        <v>1.267</v>
      </c>
      <c r="C29" s="72" t="s">
        <v>89</v>
      </c>
      <c r="D29" s="72"/>
      <c r="I29" s="1"/>
      <c r="J29" s="1"/>
      <c r="K29" s="1"/>
    </row>
    <row r="30" spans="1:11" ht="27.75" customHeight="1">
      <c r="A30" s="108" t="s">
        <v>90</v>
      </c>
      <c r="B30" s="109">
        <f>SUM(D24:D26)</f>
        <v>2.936</v>
      </c>
      <c r="C30" s="72" t="s">
        <v>91</v>
      </c>
      <c r="D30" s="72"/>
      <c r="I30" s="1"/>
      <c r="J30" s="1"/>
      <c r="K30" s="1"/>
    </row>
    <row r="31" spans="1:11" ht="15">
      <c r="A31" s="1"/>
      <c r="B31" s="1"/>
      <c r="C31" s="1"/>
      <c r="D31" s="1"/>
      <c r="E31" s="1"/>
      <c r="F31" s="40"/>
      <c r="G31" s="1"/>
      <c r="H31" s="1"/>
      <c r="I31" s="1"/>
      <c r="J31" s="1"/>
      <c r="K31" s="1"/>
    </row>
    <row r="32" spans="1:12" ht="19.5">
      <c r="A32" s="101" t="s">
        <v>92</v>
      </c>
      <c r="B32" s="1"/>
      <c r="C32" s="1"/>
      <c r="D32" s="1"/>
      <c r="E32" s="1"/>
      <c r="J32" s="1"/>
      <c r="K32" s="1"/>
      <c r="L32" s="1"/>
    </row>
    <row r="33" spans="1:12" ht="15">
      <c r="A33" s="29" t="s">
        <v>93</v>
      </c>
      <c r="B33" s="29" t="str">
        <f>IF(EXACT($C$19,"small server"),"1","&gt; 2")</f>
        <v>1</v>
      </c>
      <c r="C33" s="1" t="s">
        <v>94</v>
      </c>
      <c r="D33" s="1"/>
      <c r="E33" s="1"/>
      <c r="J33" s="1"/>
      <c r="K33" s="1"/>
      <c r="L33" s="1"/>
    </row>
    <row r="34" spans="1:11" ht="15">
      <c r="A34" s="80" t="s">
        <v>95</v>
      </c>
      <c r="B34" s="80" t="str">
        <f>IF(EXACT($C$19,"small server"),"1",CEILING(Laptops_in_school*XS_Mem_per_laptop/B19,1))</f>
        <v>1</v>
      </c>
      <c r="C34" s="110" t="s">
        <v>96</v>
      </c>
      <c r="D34" s="79"/>
      <c r="E34" s="1"/>
      <c r="F34" s="40"/>
      <c r="G34" s="1"/>
      <c r="H34" s="1"/>
      <c r="I34" s="1"/>
      <c r="J34" s="1"/>
      <c r="K34" s="1"/>
    </row>
    <row r="35" spans="1:11" ht="15" customHeight="1">
      <c r="A35" s="80" t="s">
        <v>97</v>
      </c>
      <c r="B35" s="111">
        <f>CEILING(Laptops_in_school*Backup_Storage_per_laptop/$B$19+XS_Disk_space,512)</f>
        <v>512</v>
      </c>
      <c r="C35" s="110" t="s">
        <v>96</v>
      </c>
      <c r="D35" s="112"/>
      <c r="E35" s="5"/>
      <c r="F35" s="91"/>
      <c r="G35" s="5"/>
      <c r="H35" s="1"/>
      <c r="I35" s="1"/>
      <c r="J35" s="1"/>
      <c r="K35" s="1"/>
    </row>
    <row r="36" s="5" customFormat="1" ht="15" customHeight="1">
      <c r="F36" s="91"/>
    </row>
    <row r="37" spans="1:7" ht="22.5" customHeight="1">
      <c r="A37" s="113" t="s">
        <v>98</v>
      </c>
      <c r="B37" s="113"/>
      <c r="C37" s="113"/>
      <c r="D37" s="113"/>
      <c r="E37" s="113"/>
      <c r="F37" s="91"/>
      <c r="G37" s="5"/>
    </row>
    <row r="39" spans="1:4" ht="19.5" customHeight="1">
      <c r="A39" s="114" t="s">
        <v>99</v>
      </c>
      <c r="B39" s="115" t="s">
        <v>100</v>
      </c>
      <c r="C39" s="116" t="s">
        <v>101</v>
      </c>
      <c r="D39" s="115" t="s">
        <v>44</v>
      </c>
    </row>
    <row r="40" spans="1:4" ht="15">
      <c r="A40" s="97" t="s">
        <v>83</v>
      </c>
      <c r="B40" s="117">
        <f>Laptop_Cost</f>
        <v>209</v>
      </c>
      <c r="C40" s="97">
        <f>Laptops_in_school</f>
        <v>60</v>
      </c>
      <c r="D40" s="37">
        <f aca="true" t="shared" si="0" ref="D40:D47">C40*B40</f>
        <v>12540</v>
      </c>
    </row>
    <row r="41" spans="1:4" ht="15">
      <c r="A41" s="97" t="s">
        <v>102</v>
      </c>
      <c r="B41" s="118">
        <f>IF(EXACT($C$19,"small server"),Small_Server_Cost,Large_Server_Cost)</f>
        <v>800</v>
      </c>
      <c r="C41" s="97">
        <f>$B$19</f>
        <v>1</v>
      </c>
      <c r="D41" s="37">
        <f t="shared" si="0"/>
        <v>800</v>
      </c>
    </row>
    <row r="42" spans="1:4" ht="15">
      <c r="A42" s="97" t="s">
        <v>103</v>
      </c>
      <c r="B42" s="118">
        <f>Disk_Cost</f>
        <v>200</v>
      </c>
      <c r="C42" s="97">
        <f>CEILING($B$35/Disk_size,1)*$B$19</f>
        <v>1</v>
      </c>
      <c r="D42" s="37">
        <f t="shared" si="0"/>
        <v>200</v>
      </c>
    </row>
    <row r="43" spans="1:4" ht="15">
      <c r="A43" s="97" t="s">
        <v>104</v>
      </c>
      <c r="B43" s="117">
        <f>AP_Cost</f>
        <v>120</v>
      </c>
      <c r="C43" s="97">
        <f>$B$20</f>
        <v>2</v>
      </c>
      <c r="D43" s="37">
        <f t="shared" si="0"/>
        <v>240</v>
      </c>
    </row>
    <row r="44" spans="1:4" ht="15">
      <c r="A44" s="97" t="s">
        <v>105</v>
      </c>
      <c r="B44" s="117">
        <f>SW_Cost</f>
        <v>120</v>
      </c>
      <c r="C44" s="97">
        <f>$B$21</f>
        <v>1</v>
      </c>
      <c r="D44" s="37">
        <f t="shared" si="0"/>
        <v>120</v>
      </c>
    </row>
    <row r="45" spans="1:4" ht="15">
      <c r="A45" s="97" t="s">
        <v>53</v>
      </c>
      <c r="B45" s="117">
        <f>IF(EXACT($B$7,"DSL"),DSL_Cost,IF(EXACT($B$7,"VSAT"),VSAT_Cost,IF(EXACT($B$7,"GSM"),GSM_Cost,0)))</f>
        <v>200</v>
      </c>
      <c r="C45" s="97">
        <v>1</v>
      </c>
      <c r="D45" s="37">
        <f t="shared" si="0"/>
        <v>200</v>
      </c>
    </row>
    <row r="46" spans="1:5" ht="15">
      <c r="A46" s="97" t="s">
        <v>106</v>
      </c>
      <c r="B46" s="117">
        <f>Cat5_Cost</f>
        <v>10</v>
      </c>
      <c r="C46" s="97">
        <f>C43+C44</f>
        <v>3</v>
      </c>
      <c r="D46" s="37">
        <f t="shared" si="0"/>
        <v>30</v>
      </c>
      <c r="E46" s="18" t="s">
        <v>107</v>
      </c>
    </row>
    <row r="47" spans="1:4" ht="15">
      <c r="A47" s="97" t="s">
        <v>108</v>
      </c>
      <c r="B47" s="117">
        <f>Power_Strip_Cost</f>
        <v>10</v>
      </c>
      <c r="C47" s="97">
        <f>CEILING(Laptops_in_school/Students_per_strip,1)+IF(Laptops_in_school&gt;Students_per_strip,CEILING(Laptops_in_school/POWER(Students_per_strip,2),1),0)+IF(Laptops_in_school&gt;POWER(Students_per_strip,2),CEILING(Laptops_in_school/POWER(Students_per_strip,3),1),0)+IF(Laptops_in_school&gt;POWER(Students_per_strip,3),CEILING(Laptops_in_school/POWER(Students_per_strip,4),1),0)+C44+C41</f>
        <v>18</v>
      </c>
      <c r="D47" s="37">
        <f t="shared" si="0"/>
        <v>180</v>
      </c>
    </row>
    <row r="48" spans="1:6" s="123" customFormat="1" ht="24" customHeight="1">
      <c r="A48" s="119"/>
      <c r="B48" s="120"/>
      <c r="C48" s="121" t="s">
        <v>109</v>
      </c>
      <c r="D48" s="122">
        <f>SUM(D40:D47)</f>
        <v>14310</v>
      </c>
      <c r="F48" s="124"/>
    </row>
    <row r="49" spans="1:6" s="123" customFormat="1" ht="24" customHeight="1">
      <c r="A49" s="125"/>
      <c r="B49" s="125"/>
      <c r="C49" s="121" t="s">
        <v>110</v>
      </c>
      <c r="D49" s="120">
        <f>D48/Laptops_in_school</f>
        <v>238.5</v>
      </c>
      <c r="F49" s="124"/>
    </row>
    <row r="50" spans="1:6" s="123" customFormat="1" ht="22.5" customHeight="1">
      <c r="A50" s="125"/>
      <c r="B50" s="125"/>
      <c r="C50" s="121" t="s">
        <v>111</v>
      </c>
      <c r="D50" s="126">
        <f>SUM(D41:D46)/Laptops_in_school</f>
        <v>26.5</v>
      </c>
      <c r="F50" s="124"/>
    </row>
    <row r="51" spans="1:6" s="123" customFormat="1" ht="21.75" customHeight="1">
      <c r="A51" s="125"/>
      <c r="B51" s="125"/>
      <c r="C51" s="121" t="s">
        <v>112</v>
      </c>
      <c r="D51" s="126">
        <f>D47/Laptops_in_school</f>
        <v>3</v>
      </c>
      <c r="F51" s="124"/>
    </row>
    <row r="52" spans="1:4" ht="24" customHeight="1">
      <c r="A52" s="125"/>
      <c r="B52" s="125"/>
      <c r="C52" s="121" t="s">
        <v>113</v>
      </c>
      <c r="D52" s="120">
        <f>$B$30*KWH_Cost*School_Days_in_Month+IF(EXACT($B$7,"DSL"),DSL_Monthly_Cost,IF(EXACT($B$7,"VSAT"),VSAT_Monthly_Cost,IF(EXACT($B$7,"GSM"),GSM_Monthly_Cost,0)))</f>
        <v>47.0464</v>
      </c>
    </row>
    <row r="53" ht="21.75" customHeight="1"/>
    <row r="54" spans="1:4" ht="19.5" customHeight="1">
      <c r="A54" s="114" t="s">
        <v>114</v>
      </c>
      <c r="B54" s="115" t="s">
        <v>100</v>
      </c>
      <c r="C54" s="116" t="s">
        <v>101</v>
      </c>
      <c r="D54" s="115" t="s">
        <v>44</v>
      </c>
    </row>
    <row r="55" spans="1:4" ht="15">
      <c r="A55" s="97" t="s">
        <v>83</v>
      </c>
      <c r="B55" s="117">
        <f>Laptop_Cost</f>
        <v>209</v>
      </c>
      <c r="C55" s="97">
        <f>Laptops_in_school</f>
        <v>60</v>
      </c>
      <c r="D55" s="37">
        <f aca="true" t="shared" si="1" ref="D55:D63">C55*B55</f>
        <v>12540</v>
      </c>
    </row>
    <row r="56" spans="1:4" ht="15">
      <c r="A56" s="97" t="s">
        <v>102</v>
      </c>
      <c r="B56" s="118">
        <f>IF(EXACT($C$19,"small server"),Small_Server_Cost,Large_Server_Cost)</f>
        <v>800</v>
      </c>
      <c r="C56" s="97">
        <f>$B$19</f>
        <v>1</v>
      </c>
      <c r="D56" s="37">
        <f t="shared" si="1"/>
        <v>800</v>
      </c>
    </row>
    <row r="57" spans="1:7" ht="15">
      <c r="A57" s="97" t="s">
        <v>103</v>
      </c>
      <c r="B57" s="118">
        <f>Disk_Cost</f>
        <v>200</v>
      </c>
      <c r="C57" s="97">
        <f>CEILING($B$35/Disk_size,1)*$B$19</f>
        <v>1</v>
      </c>
      <c r="D57" s="37">
        <f t="shared" si="1"/>
        <v>200</v>
      </c>
      <c r="G57" s="127"/>
    </row>
    <row r="58" spans="1:4" ht="15">
      <c r="A58" s="97" t="s">
        <v>104</v>
      </c>
      <c r="B58" s="117">
        <f>AP_Cost</f>
        <v>120</v>
      </c>
      <c r="C58" s="97">
        <f>$B$20</f>
        <v>2</v>
      </c>
      <c r="D58" s="37">
        <f t="shared" si="1"/>
        <v>240</v>
      </c>
    </row>
    <row r="59" spans="1:4" ht="15">
      <c r="A59" s="97" t="s">
        <v>105</v>
      </c>
      <c r="B59" s="117">
        <f>SW_Cost</f>
        <v>120</v>
      </c>
      <c r="C59" s="97">
        <f>$B$21</f>
        <v>1</v>
      </c>
      <c r="D59" s="37">
        <f t="shared" si="1"/>
        <v>120</v>
      </c>
    </row>
    <row r="60" spans="1:4" ht="15">
      <c r="A60" s="97" t="s">
        <v>53</v>
      </c>
      <c r="B60" s="117">
        <f>IF(EXACT($B$7,"DSL"),DSL_Cost,IF(EXACT($B$7,"VSAT"),VSAT_Cost,IF(EXACT($B$7,"GSM"),GSM_Cost,0)))</f>
        <v>200</v>
      </c>
      <c r="C60" s="97">
        <v>1</v>
      </c>
      <c r="D60" s="37">
        <f t="shared" si="1"/>
        <v>200</v>
      </c>
    </row>
    <row r="61" spans="1:5" ht="15">
      <c r="A61" s="97" t="s">
        <v>106</v>
      </c>
      <c r="B61" s="117">
        <f>Cat5_Cost</f>
        <v>10</v>
      </c>
      <c r="C61" s="97">
        <f>C58+C59</f>
        <v>3</v>
      </c>
      <c r="D61" s="37">
        <f t="shared" si="1"/>
        <v>30</v>
      </c>
      <c r="E61" s="18" t="s">
        <v>107</v>
      </c>
    </row>
    <row r="62" spans="1:4" ht="15">
      <c r="A62" s="97" t="s">
        <v>115</v>
      </c>
      <c r="B62" s="117">
        <f>XOP_Bundle_Cost</f>
        <v>165</v>
      </c>
      <c r="C62" s="97">
        <f>CEILING(Laptops_in_school/Students_per_XOP_Bundle,1)</f>
        <v>3</v>
      </c>
      <c r="D62" s="37">
        <f>C62*B62</f>
        <v>495</v>
      </c>
    </row>
    <row r="63" spans="1:4" ht="15">
      <c r="A63" s="97" t="s">
        <v>108</v>
      </c>
      <c r="B63" s="117">
        <f>Power_Strip_Cost</f>
        <v>10</v>
      </c>
      <c r="C63" s="97">
        <f>C59+C56</f>
        <v>2</v>
      </c>
      <c r="D63" s="37">
        <f t="shared" si="1"/>
        <v>20</v>
      </c>
    </row>
    <row r="64" spans="1:6" s="123" customFormat="1" ht="24" customHeight="1">
      <c r="A64" s="119"/>
      <c r="B64" s="120"/>
      <c r="C64" s="121" t="s">
        <v>109</v>
      </c>
      <c r="D64" s="122">
        <f>SUM(D55:D63)</f>
        <v>14645</v>
      </c>
      <c r="F64" s="124"/>
    </row>
    <row r="65" spans="1:6" s="123" customFormat="1" ht="24" customHeight="1">
      <c r="A65" s="125"/>
      <c r="B65" s="125"/>
      <c r="C65" s="121" t="s">
        <v>110</v>
      </c>
      <c r="D65" s="120">
        <f>D64/Laptops_in_school</f>
        <v>244.08333333333334</v>
      </c>
      <c r="F65" s="124"/>
    </row>
    <row r="66" spans="1:6" s="123" customFormat="1" ht="22.5" customHeight="1">
      <c r="A66" s="125"/>
      <c r="B66" s="125"/>
      <c r="C66" s="121" t="s">
        <v>111</v>
      </c>
      <c r="D66" s="126">
        <f>SUM(D56:D61)/Laptops_in_school</f>
        <v>26.5</v>
      </c>
      <c r="F66" s="124"/>
    </row>
    <row r="67" spans="1:6" s="123" customFormat="1" ht="21.75" customHeight="1">
      <c r="A67" s="125"/>
      <c r="B67" s="125"/>
      <c r="C67" s="121" t="s">
        <v>112</v>
      </c>
      <c r="D67" s="126">
        <f>(D62+D63)/Laptops_in_school</f>
        <v>8.583333333333334</v>
      </c>
      <c r="F67" s="124"/>
    </row>
    <row r="68" spans="1:4" ht="24" customHeight="1">
      <c r="A68" s="125"/>
      <c r="B68" s="125"/>
      <c r="C68" s="121" t="s">
        <v>113</v>
      </c>
      <c r="D68" s="120">
        <f>$B$30*KWH_Cost*School_Days_in_Month+IF(EXACT($B$7,"DSL"),DSL_Monthly_Cost,IF(EXACT($B$7,"VSAT"),VSAT_Monthly_Cost,IF(EXACT($B$7,"GSM"),GSM_Monthly_Cost,0)))</f>
        <v>47.0464</v>
      </c>
    </row>
    <row r="69" ht="21.75" customHeight="1"/>
    <row r="70" spans="1:4" ht="21" customHeight="1">
      <c r="A70" s="114" t="s">
        <v>116</v>
      </c>
      <c r="B70" s="115" t="s">
        <v>100</v>
      </c>
      <c r="C70" s="116" t="s">
        <v>101</v>
      </c>
      <c r="D70" s="115" t="s">
        <v>44</v>
      </c>
    </row>
    <row r="71" spans="1:4" ht="15">
      <c r="A71" s="97" t="s">
        <v>83</v>
      </c>
      <c r="B71" s="117">
        <f>Laptop_Cost</f>
        <v>209</v>
      </c>
      <c r="C71" s="97">
        <f>Laptops_in_school</f>
        <v>60</v>
      </c>
      <c r="D71" s="37">
        <f>C71*B71</f>
        <v>12540</v>
      </c>
    </row>
    <row r="72" spans="1:4" ht="15">
      <c r="A72" s="97" t="s">
        <v>102</v>
      </c>
      <c r="B72" s="118">
        <f>IF(EXACT($C$19,"small server"),Small_Server_Cost,Large_Server_Cost)</f>
        <v>800</v>
      </c>
      <c r="C72" s="97">
        <f>$B$19</f>
        <v>1</v>
      </c>
      <c r="D72" s="37">
        <f aca="true" t="shared" si="2" ref="D72:D77">C72*B72</f>
        <v>800</v>
      </c>
    </row>
    <row r="73" spans="1:4" ht="15">
      <c r="A73" s="97" t="s">
        <v>103</v>
      </c>
      <c r="B73" s="118">
        <f>Disk_Cost</f>
        <v>200</v>
      </c>
      <c r="C73" s="97">
        <f>CEILING($B$35/Disk_size,1)*$B$19</f>
        <v>1</v>
      </c>
      <c r="D73" s="37">
        <f t="shared" si="2"/>
        <v>200</v>
      </c>
    </row>
    <row r="74" spans="1:4" ht="15">
      <c r="A74" s="97" t="s">
        <v>104</v>
      </c>
      <c r="B74" s="117">
        <f>AP_Cost</f>
        <v>120</v>
      </c>
      <c r="C74" s="97">
        <f>$B$20</f>
        <v>2</v>
      </c>
      <c r="D74" s="37">
        <f t="shared" si="2"/>
        <v>240</v>
      </c>
    </row>
    <row r="75" spans="1:4" ht="15">
      <c r="A75" s="97" t="s">
        <v>105</v>
      </c>
      <c r="B75" s="117">
        <f>SW_Cost</f>
        <v>120</v>
      </c>
      <c r="C75" s="97">
        <f>$B$21</f>
        <v>1</v>
      </c>
      <c r="D75" s="37">
        <f t="shared" si="2"/>
        <v>120</v>
      </c>
    </row>
    <row r="76" spans="1:4" ht="15">
      <c r="A76" s="97" t="s">
        <v>53</v>
      </c>
      <c r="B76" s="117">
        <f>IF(EXACT($B$7,"DSL"),DSL_Cost,IF(EXACT($B$7,"VSAT"),VSAT_Cost,IF(EXACT($B$7,"GSM"),GSM_Cost,0)))</f>
        <v>200</v>
      </c>
      <c r="C76" s="97">
        <v>1</v>
      </c>
      <c r="D76" s="37">
        <f t="shared" si="2"/>
        <v>200</v>
      </c>
    </row>
    <row r="77" spans="1:4" ht="15">
      <c r="A77" s="97" t="s">
        <v>106</v>
      </c>
      <c r="B77" s="117">
        <f>Cat5_Cost</f>
        <v>10</v>
      </c>
      <c r="C77" s="97">
        <f>C74+C75</f>
        <v>3</v>
      </c>
      <c r="D77" s="37">
        <f t="shared" si="2"/>
        <v>30</v>
      </c>
    </row>
    <row r="78" spans="1:6" s="97" customFormat="1" ht="15">
      <c r="A78" s="97" t="s">
        <v>117</v>
      </c>
      <c r="B78" s="117">
        <f>Multi_Battery_Charger</f>
        <v>350</v>
      </c>
      <c r="C78" s="97">
        <f>CEILING(Laptops_in_school*Charges_per_day/(Batteries_per_MBC*(Infrastructure_per_day/Charge_Time)),1)</f>
        <v>1</v>
      </c>
      <c r="D78" s="37">
        <f>B78*C78</f>
        <v>350</v>
      </c>
      <c r="F78" s="105"/>
    </row>
    <row r="79" spans="1:6" s="97" customFormat="1" ht="15">
      <c r="A79" s="97" t="s">
        <v>118</v>
      </c>
      <c r="B79" s="117">
        <f>XO_Battery_Cost</f>
        <v>20</v>
      </c>
      <c r="C79" s="97">
        <f>Laptops_in_school*Charges_per_day</f>
        <v>60</v>
      </c>
      <c r="D79" s="37">
        <f>B79*C79</f>
        <v>1200</v>
      </c>
      <c r="F79" s="105"/>
    </row>
    <row r="80" spans="1:4" ht="15">
      <c r="A80" s="97" t="s">
        <v>108</v>
      </c>
      <c r="B80" s="117">
        <f>Power_Strip_Cost</f>
        <v>10</v>
      </c>
      <c r="C80" s="97">
        <f>C72+C75</f>
        <v>2</v>
      </c>
      <c r="D80" s="37">
        <f>C80*B80</f>
        <v>20</v>
      </c>
    </row>
    <row r="81" spans="1:6" s="123" customFormat="1" ht="24" customHeight="1">
      <c r="A81" s="119"/>
      <c r="B81" s="120"/>
      <c r="C81" s="121" t="s">
        <v>109</v>
      </c>
      <c r="D81" s="122">
        <f>SUM(D71:D80)</f>
        <v>15700</v>
      </c>
      <c r="F81" s="124"/>
    </row>
    <row r="82" spans="1:6" s="123" customFormat="1" ht="24" customHeight="1">
      <c r="A82" s="125"/>
      <c r="B82" s="125"/>
      <c r="C82" s="121" t="s">
        <v>110</v>
      </c>
      <c r="D82" s="120">
        <f>D81/Laptops_in_school</f>
        <v>261.6666666666667</v>
      </c>
      <c r="F82" s="124"/>
    </row>
    <row r="83" spans="1:6" s="123" customFormat="1" ht="21.75" customHeight="1">
      <c r="A83" s="125"/>
      <c r="B83" s="125"/>
      <c r="C83" s="121" t="s">
        <v>112</v>
      </c>
      <c r="D83" s="126">
        <f>SUM(D78:D80)/Laptops_in_school</f>
        <v>26.166666666666668</v>
      </c>
      <c r="F83" s="124"/>
    </row>
    <row r="84" spans="1:4" ht="24" customHeight="1">
      <c r="A84" s="125"/>
      <c r="B84" s="125"/>
      <c r="C84" s="121" t="s">
        <v>113</v>
      </c>
      <c r="D84" s="120">
        <f>IF(EXACT($B$7,"DSL"),DSL_Monthly_Cost,IF(EXACT($B$7,"VSAT"),VSAT_Monthly_Cost,IF(EXACT($B$7,"GSM"),GSM_Monthly_Cost,0)))</f>
        <v>40</v>
      </c>
    </row>
    <row r="85" ht="21.75" customHeight="1"/>
    <row r="86" spans="1:4" ht="21" customHeight="1">
      <c r="A86" s="114" t="s">
        <v>119</v>
      </c>
      <c r="B86" s="115" t="s">
        <v>100</v>
      </c>
      <c r="C86" s="116" t="s">
        <v>101</v>
      </c>
      <c r="D86" s="115" t="s">
        <v>44</v>
      </c>
    </row>
    <row r="87" spans="1:4" ht="15">
      <c r="A87" s="97" t="s">
        <v>83</v>
      </c>
      <c r="B87" s="117">
        <f>Laptop_Cost</f>
        <v>209</v>
      </c>
      <c r="C87" s="97">
        <f>Laptops_in_school</f>
        <v>60</v>
      </c>
      <c r="D87" s="37">
        <f>C87*B87</f>
        <v>12540</v>
      </c>
    </row>
    <row r="88" spans="1:4" ht="15">
      <c r="A88" s="97" t="s">
        <v>102</v>
      </c>
      <c r="B88" s="118">
        <f>IF(EXACT($C$19,"small server"),Small_Server_Cost,Large_Server_Cost)</f>
        <v>800</v>
      </c>
      <c r="C88" s="97">
        <f>$B$19</f>
        <v>1</v>
      </c>
      <c r="D88" s="37">
        <f aca="true" t="shared" si="3" ref="D88:D99">C88*B88</f>
        <v>800</v>
      </c>
    </row>
    <row r="89" spans="1:4" ht="15">
      <c r="A89" s="97" t="s">
        <v>103</v>
      </c>
      <c r="B89" s="118">
        <f>Disk_Cost</f>
        <v>200</v>
      </c>
      <c r="C89" s="97">
        <f>CEILING($B$35/Disk_size,1)*$B$19</f>
        <v>1</v>
      </c>
      <c r="D89" s="37">
        <f t="shared" si="3"/>
        <v>200</v>
      </c>
    </row>
    <row r="90" spans="1:4" ht="15">
      <c r="A90" s="97" t="s">
        <v>104</v>
      </c>
      <c r="B90" s="117">
        <f>AP_Cost</f>
        <v>120</v>
      </c>
      <c r="C90" s="97">
        <f>$B$20</f>
        <v>2</v>
      </c>
      <c r="D90" s="37">
        <f t="shared" si="3"/>
        <v>240</v>
      </c>
    </row>
    <row r="91" spans="1:4" ht="15">
      <c r="A91" s="97" t="s">
        <v>105</v>
      </c>
      <c r="B91" s="117">
        <f>SW_Cost</f>
        <v>120</v>
      </c>
      <c r="C91" s="97">
        <f>$B$21</f>
        <v>1</v>
      </c>
      <c r="D91" s="37">
        <f t="shared" si="3"/>
        <v>120</v>
      </c>
    </row>
    <row r="92" spans="1:4" ht="15">
      <c r="A92" s="97" t="s">
        <v>53</v>
      </c>
      <c r="B92" s="117">
        <f>IF(EXACT($B$7,"DSL"),DSL_Cost,IF(EXACT($B$7,"VSAT"),VSAT_Cost,IF(EXACT($B$7,"GSM"),GSM_Cost,0)))</f>
        <v>200</v>
      </c>
      <c r="C92" s="97">
        <v>1</v>
      </c>
      <c r="D92" s="37">
        <f t="shared" si="3"/>
        <v>200</v>
      </c>
    </row>
    <row r="93" spans="1:4" ht="15">
      <c r="A93" s="97" t="s">
        <v>106</v>
      </c>
      <c r="B93" s="117">
        <f>Cat5_Cost</f>
        <v>10</v>
      </c>
      <c r="C93" s="97">
        <f>C90+C91</f>
        <v>3</v>
      </c>
      <c r="D93" s="37">
        <f t="shared" si="3"/>
        <v>30</v>
      </c>
    </row>
    <row r="94" spans="1:6" s="97" customFormat="1" ht="15">
      <c r="A94" s="97" t="s">
        <v>120</v>
      </c>
      <c r="B94" s="117">
        <f>Large_Solar_Panel_Cost</f>
        <v>5000</v>
      </c>
      <c r="C94" s="97">
        <f>CEILING($B$30/(Sunlight_Hours*Charge_Controller_Efficiency),0.2)</f>
        <v>1</v>
      </c>
      <c r="D94" s="37">
        <f t="shared" si="3"/>
        <v>5000</v>
      </c>
      <c r="F94" s="105"/>
    </row>
    <row r="95" spans="1:6" s="97" customFormat="1" ht="15">
      <c r="A95" s="97" t="s">
        <v>121</v>
      </c>
      <c r="B95" s="117">
        <f>Inverter_Cost</f>
        <v>2000</v>
      </c>
      <c r="C95" s="97">
        <f>CEILING(((B24/XO_Adapter_Power_Factor+B25+B26)*Simultaneous_Charging),1)</f>
        <v>2</v>
      </c>
      <c r="D95" s="37">
        <f t="shared" si="3"/>
        <v>4000</v>
      </c>
      <c r="F95" s="128"/>
    </row>
    <row r="96" spans="1:6" s="97" customFormat="1" ht="15">
      <c r="A96" s="97" t="s">
        <v>122</v>
      </c>
      <c r="B96" s="117">
        <f>Large_Battery_Cost</f>
        <v>1500</v>
      </c>
      <c r="C96" s="97">
        <f>CEILING(($D$25+$D$26),0.5)+CEILING((($D$25+$D$26+$D$24)*Storage_Days),0.5)</f>
        <v>1</v>
      </c>
      <c r="D96" s="37">
        <f t="shared" si="3"/>
        <v>1500</v>
      </c>
      <c r="F96" s="105"/>
    </row>
    <row r="97" spans="1:6" s="97" customFormat="1" ht="15">
      <c r="A97" s="97" t="s">
        <v>123</v>
      </c>
      <c r="B97" s="117">
        <f>Charge_Controller_Cost</f>
        <v>500</v>
      </c>
      <c r="C97" s="97">
        <f>CEILING(C94/1.4,1)</f>
        <v>1</v>
      </c>
      <c r="D97" s="37">
        <f t="shared" si="3"/>
        <v>500</v>
      </c>
      <c r="F97" s="105"/>
    </row>
    <row r="98" spans="1:6" s="97" customFormat="1" ht="15">
      <c r="A98" s="97" t="s">
        <v>124</v>
      </c>
      <c r="B98" s="117">
        <f>Outlet_Cost</f>
        <v>40</v>
      </c>
      <c r="C98" s="97">
        <f>CEILING(Laptops_in_school/Students_per_outlet,1)</f>
        <v>2</v>
      </c>
      <c r="D98" s="37">
        <f t="shared" si="3"/>
        <v>80</v>
      </c>
      <c r="F98" s="105"/>
    </row>
    <row r="99" spans="1:4" ht="15">
      <c r="A99" s="97" t="s">
        <v>108</v>
      </c>
      <c r="B99" s="117">
        <f>Power_Strip_Cost</f>
        <v>10</v>
      </c>
      <c r="C99" s="97">
        <f>Laptops_in_school/Students_per_strip+IF(Laptops_in_school&gt;Students_per_strip,CEILING(Laptops_in_school/POWER(Students_per_strip,2),1),0)+IF(Laptops_in_school&gt;POWER(Students_per_strip,2),CEILING(Laptops_in_school/POWER(Students_per_strip,3),1),0)+IF(Laptops_in_school&gt;POWER(Students_per_strip,3),CEILING(Laptops_in_school/POWER(Students_per_strip,4),1),0)+C91+C88</f>
        <v>18</v>
      </c>
      <c r="D99" s="37">
        <f t="shared" si="3"/>
        <v>180</v>
      </c>
    </row>
    <row r="100" spans="1:6" s="123" customFormat="1" ht="24" customHeight="1">
      <c r="A100" s="119"/>
      <c r="B100" s="120"/>
      <c r="C100" s="121" t="s">
        <v>109</v>
      </c>
      <c r="D100" s="122">
        <f>SUM(D87:D99)</f>
        <v>25390</v>
      </c>
      <c r="F100" s="124"/>
    </row>
    <row r="101" spans="1:6" s="123" customFormat="1" ht="24" customHeight="1">
      <c r="A101" s="125"/>
      <c r="B101" s="125"/>
      <c r="C101" s="121" t="s">
        <v>110</v>
      </c>
      <c r="D101" s="120">
        <f>D100/Laptops_in_school</f>
        <v>423.1666666666667</v>
      </c>
      <c r="F101" s="124"/>
    </row>
    <row r="102" spans="1:6" s="123" customFormat="1" ht="21.75" customHeight="1">
      <c r="A102" s="125"/>
      <c r="B102" s="125"/>
      <c r="C102" s="121" t="s">
        <v>112</v>
      </c>
      <c r="D102" s="126">
        <f>SUM(D94:D99)/Laptops_in_school</f>
        <v>187.66666666666666</v>
      </c>
      <c r="F102" s="124"/>
    </row>
    <row r="103" spans="1:4" ht="24" customHeight="1">
      <c r="A103" s="125"/>
      <c r="B103" s="125"/>
      <c r="C103" s="121" t="s">
        <v>113</v>
      </c>
      <c r="D103" s="120">
        <f>IF(EXACT($B$7,"DSL"),DSL_Monthly_Cost,IF(EXACT($B$7,"VSAT"),VSAT_Monthly_Cost,IF(EXACT($B$7,"GSM"),GSM_Monthly_Cost,0)))</f>
        <v>40</v>
      </c>
    </row>
    <row r="104" ht="21.75" customHeight="1"/>
    <row r="105" spans="1:4" ht="21" customHeight="1">
      <c r="A105" s="114" t="s">
        <v>125</v>
      </c>
      <c r="B105" s="115" t="s">
        <v>100</v>
      </c>
      <c r="C105" s="116" t="s">
        <v>101</v>
      </c>
      <c r="D105" s="115" t="s">
        <v>44</v>
      </c>
    </row>
    <row r="106" spans="1:4" ht="15">
      <c r="A106" s="97" t="s">
        <v>83</v>
      </c>
      <c r="B106" s="117">
        <f>Laptop_Cost</f>
        <v>209</v>
      </c>
      <c r="C106" s="97">
        <f>Laptops_in_school</f>
        <v>60</v>
      </c>
      <c r="D106" s="37">
        <f>C106*B106</f>
        <v>12540</v>
      </c>
    </row>
    <row r="107" spans="1:4" ht="15">
      <c r="A107" s="97" t="s">
        <v>102</v>
      </c>
      <c r="B107" s="118">
        <f>IF(EXACT($C$19,"small server"),Small_Server_Cost,Large_Server_Cost)</f>
        <v>800</v>
      </c>
      <c r="C107" s="97">
        <f>$B$19</f>
        <v>1</v>
      </c>
      <c r="D107" s="37">
        <f aca="true" t="shared" si="4" ref="D107:D119">C107*B107</f>
        <v>800</v>
      </c>
    </row>
    <row r="108" spans="1:4" ht="15">
      <c r="A108" s="97" t="s">
        <v>103</v>
      </c>
      <c r="B108" s="118">
        <f>Disk_Cost</f>
        <v>200</v>
      </c>
      <c r="C108" s="97">
        <f>CEILING($B$35/Disk_size,1)*$B$19</f>
        <v>1</v>
      </c>
      <c r="D108" s="37">
        <f t="shared" si="4"/>
        <v>200</v>
      </c>
    </row>
    <row r="109" spans="1:4" ht="15">
      <c r="A109" s="97" t="s">
        <v>104</v>
      </c>
      <c r="B109" s="117">
        <f>AP_Cost</f>
        <v>120</v>
      </c>
      <c r="C109" s="97">
        <f>$B$20</f>
        <v>2</v>
      </c>
      <c r="D109" s="37">
        <f t="shared" si="4"/>
        <v>240</v>
      </c>
    </row>
    <row r="110" spans="1:4" ht="15">
      <c r="A110" s="97" t="s">
        <v>105</v>
      </c>
      <c r="B110" s="117">
        <f>SW_Cost</f>
        <v>120</v>
      </c>
      <c r="C110" s="97">
        <f>$B$21</f>
        <v>1</v>
      </c>
      <c r="D110" s="37">
        <f t="shared" si="4"/>
        <v>120</v>
      </c>
    </row>
    <row r="111" spans="1:4" ht="15">
      <c r="A111" s="97" t="s">
        <v>53</v>
      </c>
      <c r="B111" s="117">
        <f>IF(EXACT($B$7,"DSL"),DSL_Cost,IF(EXACT($B$7,"VSAT"),VSAT_Cost,IF(EXACT($B$7,"GSM"),GSM_Cost,0)))</f>
        <v>200</v>
      </c>
      <c r="C111" s="97">
        <v>1</v>
      </c>
      <c r="D111" s="37">
        <f t="shared" si="4"/>
        <v>200</v>
      </c>
    </row>
    <row r="112" spans="1:4" ht="15">
      <c r="A112" s="97" t="s">
        <v>106</v>
      </c>
      <c r="B112" s="117">
        <f>Cat5_Cost</f>
        <v>10</v>
      </c>
      <c r="C112" s="97">
        <f>C109+C110</f>
        <v>3</v>
      </c>
      <c r="D112" s="37">
        <f t="shared" si="4"/>
        <v>30</v>
      </c>
    </row>
    <row r="113" spans="1:6" s="97" customFormat="1" ht="15">
      <c r="A113" s="97" t="s">
        <v>120</v>
      </c>
      <c r="B113" s="117">
        <f>Large_Solar_Panel_Cost</f>
        <v>5000</v>
      </c>
      <c r="C113" s="97">
        <f>CEILING($B$30/(Sunlight_Hours*Charge_Controller_Efficiency),0.2)</f>
        <v>1</v>
      </c>
      <c r="D113" s="37">
        <f t="shared" si="4"/>
        <v>5000</v>
      </c>
      <c r="F113" s="105"/>
    </row>
    <row r="114" spans="1:6" s="97" customFormat="1" ht="15">
      <c r="A114" s="97" t="s">
        <v>121</v>
      </c>
      <c r="B114" s="117">
        <f>Inverter_Cost</f>
        <v>2000</v>
      </c>
      <c r="C114" s="97">
        <f>CEILING(((B24/XOP_Power_Factor+B25+B26)*Simultaneous_Charging),1)</f>
        <v>1</v>
      </c>
      <c r="D114" s="37">
        <f t="shared" si="4"/>
        <v>2000</v>
      </c>
      <c r="F114" s="105"/>
    </row>
    <row r="115" spans="1:6" s="97" customFormat="1" ht="15">
      <c r="A115" s="97" t="s">
        <v>122</v>
      </c>
      <c r="B115" s="117">
        <f>Large_Battery_Cost</f>
        <v>1500</v>
      </c>
      <c r="C115" s="97">
        <f>CEILING(($D$25+$D$26),0.5)+CEILING((($D$25+$D$26+$D$24)*Storage_Days),0.5)</f>
        <v>1</v>
      </c>
      <c r="D115" s="37">
        <f t="shared" si="4"/>
        <v>1500</v>
      </c>
      <c r="F115" s="105"/>
    </row>
    <row r="116" spans="1:6" s="97" customFormat="1" ht="15">
      <c r="A116" s="97" t="s">
        <v>123</v>
      </c>
      <c r="B116" s="117">
        <f>Charge_Controller_Cost</f>
        <v>500</v>
      </c>
      <c r="C116" s="97">
        <f>CEILING(C113/1.4,1)</f>
        <v>1</v>
      </c>
      <c r="D116" s="37">
        <f t="shared" si="4"/>
        <v>500</v>
      </c>
      <c r="F116" s="105"/>
    </row>
    <row r="117" spans="1:6" s="97" customFormat="1" ht="15">
      <c r="A117" s="97" t="s">
        <v>124</v>
      </c>
      <c r="B117" s="117">
        <f>Outlet_Cost</f>
        <v>40</v>
      </c>
      <c r="C117" s="97">
        <f>CEILING(Laptops_in_school/Students_per_outlet,1)</f>
        <v>2</v>
      </c>
      <c r="D117" s="37">
        <f t="shared" si="4"/>
        <v>80</v>
      </c>
      <c r="F117" s="105"/>
    </row>
    <row r="118" spans="1:4" ht="15">
      <c r="A118" s="97" t="s">
        <v>115</v>
      </c>
      <c r="B118" s="117">
        <f>XOP_Bundle_Cost</f>
        <v>165</v>
      </c>
      <c r="C118" s="97">
        <f>CEILING(Laptops_in_school/Students_per_XOP_Bundle,1)</f>
        <v>3</v>
      </c>
      <c r="D118" s="37">
        <f>C118*B118</f>
        <v>495</v>
      </c>
    </row>
    <row r="119" spans="1:4" ht="15">
      <c r="A119" s="97" t="s">
        <v>108</v>
      </c>
      <c r="B119" s="117">
        <f>Power_Strip_Cost</f>
        <v>10</v>
      </c>
      <c r="C119" s="97">
        <f>C107+C110</f>
        <v>2</v>
      </c>
      <c r="D119" s="37">
        <f t="shared" si="4"/>
        <v>20</v>
      </c>
    </row>
    <row r="120" spans="1:6" s="123" customFormat="1" ht="24" customHeight="1">
      <c r="A120" s="119"/>
      <c r="B120" s="120"/>
      <c r="C120" s="121" t="s">
        <v>109</v>
      </c>
      <c r="D120" s="122">
        <f>SUM(D106:D119)</f>
        <v>23725</v>
      </c>
      <c r="F120" s="124"/>
    </row>
    <row r="121" spans="1:6" s="123" customFormat="1" ht="24" customHeight="1">
      <c r="A121" s="125"/>
      <c r="B121" s="125"/>
      <c r="C121" s="121" t="s">
        <v>110</v>
      </c>
      <c r="D121" s="120">
        <f>D120/Laptops_in_school</f>
        <v>395.4166666666667</v>
      </c>
      <c r="F121" s="124"/>
    </row>
    <row r="122" spans="1:6" s="123" customFormat="1" ht="21.75" customHeight="1">
      <c r="A122" s="125"/>
      <c r="B122" s="125"/>
      <c r="C122" s="121" t="s">
        <v>112</v>
      </c>
      <c r="D122" s="126">
        <f>SUM(D113:D119)/Laptops_in_school</f>
        <v>159.91666666666666</v>
      </c>
      <c r="F122" s="124"/>
    </row>
    <row r="123" spans="1:4" ht="24" customHeight="1">
      <c r="A123" s="125"/>
      <c r="B123" s="125"/>
      <c r="C123" s="121" t="s">
        <v>113</v>
      </c>
      <c r="D123" s="120">
        <f>IF(EXACT($B$7,"DSL"),DSL_Monthly_Cost,IF(EXACT($B$7,"VSAT"),VSAT_Monthly_Cost,IF(EXACT($B$7,"GSM"),GSM_Monthly_Cost,0)))</f>
        <v>40</v>
      </c>
    </row>
    <row r="124" ht="21.75" customHeight="1"/>
    <row r="125" spans="1:4" ht="21" customHeight="1">
      <c r="A125" s="114" t="s">
        <v>126</v>
      </c>
      <c r="B125" s="115" t="s">
        <v>100</v>
      </c>
      <c r="C125" s="116" t="s">
        <v>101</v>
      </c>
      <c r="D125" s="115" t="s">
        <v>44</v>
      </c>
    </row>
    <row r="126" spans="1:4" ht="15">
      <c r="A126" s="97" t="s">
        <v>83</v>
      </c>
      <c r="B126" s="117">
        <f>Laptop_Cost</f>
        <v>209</v>
      </c>
      <c r="C126" s="97">
        <f>Laptops_in_school</f>
        <v>60</v>
      </c>
      <c r="D126" s="37">
        <f>C126*B126</f>
        <v>12540</v>
      </c>
    </row>
    <row r="127" spans="1:4" ht="15">
      <c r="A127" s="97" t="s">
        <v>102</v>
      </c>
      <c r="B127" s="118">
        <f>IF(EXACT($C$19,"small server"),Small_Server_Cost,Large_Server_Cost)</f>
        <v>800</v>
      </c>
      <c r="C127" s="97">
        <f>$B$19</f>
        <v>1</v>
      </c>
      <c r="D127" s="37">
        <f aca="true" t="shared" si="5" ref="D127:D139">C127*B127</f>
        <v>800</v>
      </c>
    </row>
    <row r="128" spans="1:4" ht="15">
      <c r="A128" s="97" t="s">
        <v>103</v>
      </c>
      <c r="B128" s="118">
        <f>Disk_Cost</f>
        <v>200</v>
      </c>
      <c r="C128" s="97">
        <f>CEILING($B$35/Disk_size,1)*$B$19</f>
        <v>1</v>
      </c>
      <c r="D128" s="37">
        <f t="shared" si="5"/>
        <v>200</v>
      </c>
    </row>
    <row r="129" spans="1:4" ht="15">
      <c r="A129" s="97" t="s">
        <v>104</v>
      </c>
      <c r="B129" s="117">
        <f>AP_Cost</f>
        <v>120</v>
      </c>
      <c r="C129" s="97">
        <f>$B$20</f>
        <v>2</v>
      </c>
      <c r="D129" s="37">
        <f t="shared" si="5"/>
        <v>240</v>
      </c>
    </row>
    <row r="130" spans="1:4" ht="15">
      <c r="A130" s="97" t="s">
        <v>105</v>
      </c>
      <c r="B130" s="117">
        <f>SW_Cost</f>
        <v>120</v>
      </c>
      <c r="C130" s="97">
        <f>$B$21</f>
        <v>1</v>
      </c>
      <c r="D130" s="37">
        <f t="shared" si="5"/>
        <v>120</v>
      </c>
    </row>
    <row r="131" spans="1:4" ht="15">
      <c r="A131" s="97" t="s">
        <v>53</v>
      </c>
      <c r="B131" s="117">
        <f>IF(EXACT($B$7,"DSL"),DSL_Cost,IF(EXACT($B$7,"VSAT"),VSAT_Cost,IF(EXACT($B$7,"GSM"),GSM_Cost,0)))</f>
        <v>200</v>
      </c>
      <c r="C131" s="97">
        <v>1</v>
      </c>
      <c r="D131" s="37">
        <f t="shared" si="5"/>
        <v>200</v>
      </c>
    </row>
    <row r="132" spans="1:4" ht="15">
      <c r="A132" s="97" t="s">
        <v>106</v>
      </c>
      <c r="B132" s="117">
        <f>Cat5_Cost</f>
        <v>10</v>
      </c>
      <c r="C132" s="97">
        <f>C129+C130</f>
        <v>3</v>
      </c>
      <c r="D132" s="37">
        <f t="shared" si="5"/>
        <v>30</v>
      </c>
    </row>
    <row r="133" spans="1:8" s="97" customFormat="1" ht="15">
      <c r="A133" s="97" t="s">
        <v>120</v>
      </c>
      <c r="B133" s="117">
        <f>Large_Solar_Panel_Cost</f>
        <v>5000</v>
      </c>
      <c r="C133" s="97">
        <f>CEILING($B$30/(Sunlight_Hours*Charge_Controller_Efficiency),0.2)</f>
        <v>1</v>
      </c>
      <c r="D133" s="37">
        <f t="shared" si="5"/>
        <v>5000</v>
      </c>
      <c r="F133" s="105"/>
      <c r="H133" s="89"/>
    </row>
    <row r="134" spans="1:6" s="97" customFormat="1" ht="15">
      <c r="A134" s="105" t="s">
        <v>121</v>
      </c>
      <c r="B134" s="117">
        <f>Inverter_Cost</f>
        <v>2000</v>
      </c>
      <c r="C134" s="97">
        <f>CEILING((B25+B26),1)</f>
        <v>1</v>
      </c>
      <c r="D134" s="37">
        <f t="shared" si="5"/>
        <v>2000</v>
      </c>
      <c r="F134" s="105"/>
    </row>
    <row r="135" spans="1:6" s="97" customFormat="1" ht="15">
      <c r="A135" s="97" t="s">
        <v>122</v>
      </c>
      <c r="B135" s="117">
        <f>Large_Battery_Cost</f>
        <v>1500</v>
      </c>
      <c r="C135" s="97">
        <f>CEILING(($D$25+$D$26),0.5)+CEILING((($D$25+$D$26)*Storage_Days),0.5)</f>
        <v>1</v>
      </c>
      <c r="D135" s="37">
        <f t="shared" si="5"/>
        <v>1500</v>
      </c>
      <c r="F135" s="105"/>
    </row>
    <row r="136" spans="1:6" s="97" customFormat="1" ht="15">
      <c r="A136" s="97" t="s">
        <v>123</v>
      </c>
      <c r="B136" s="117">
        <f>Charge_Controller_Cost</f>
        <v>500</v>
      </c>
      <c r="C136" s="97">
        <f>CEILING(C133/1.4,1)</f>
        <v>1</v>
      </c>
      <c r="D136" s="37">
        <f t="shared" si="5"/>
        <v>500</v>
      </c>
      <c r="F136" s="105"/>
    </row>
    <row r="137" spans="1:6" s="97" customFormat="1" ht="15">
      <c r="A137" s="97" t="s">
        <v>117</v>
      </c>
      <c r="B137" s="117">
        <f>Multi_Battery_Charger</f>
        <v>350</v>
      </c>
      <c r="C137" s="97">
        <f>CEILING(Laptops_in_school*Charges_per_day/(Batteries_per_MBC*(Sunlight_Hours/Charge_Time)),1)</f>
        <v>2</v>
      </c>
      <c r="D137" s="37">
        <f>B137*C137</f>
        <v>700</v>
      </c>
      <c r="F137" s="105"/>
    </row>
    <row r="138" spans="1:6" s="97" customFormat="1" ht="15">
      <c r="A138" s="97" t="s">
        <v>118</v>
      </c>
      <c r="B138" s="117">
        <f>XO_Battery_Cost</f>
        <v>20</v>
      </c>
      <c r="C138" s="97">
        <f>Laptops_in_school*Charges_per_day+(Laptops_in_school*B13*Charges_per_day)</f>
        <v>60</v>
      </c>
      <c r="D138" s="37">
        <f>B138*C138</f>
        <v>1200</v>
      </c>
      <c r="F138" s="105"/>
    </row>
    <row r="139" spans="1:4" ht="15">
      <c r="A139" s="97" t="s">
        <v>108</v>
      </c>
      <c r="B139" s="117">
        <f>Power_Strip_Cost</f>
        <v>10</v>
      </c>
      <c r="C139" s="97">
        <f>C127+C130</f>
        <v>2</v>
      </c>
      <c r="D139" s="37">
        <f t="shared" si="5"/>
        <v>20</v>
      </c>
    </row>
    <row r="140" spans="1:6" s="123" customFormat="1" ht="24" customHeight="1">
      <c r="A140" s="119"/>
      <c r="B140" s="120"/>
      <c r="C140" s="121" t="s">
        <v>109</v>
      </c>
      <c r="D140" s="122">
        <f>SUM(D126:D139)</f>
        <v>25050</v>
      </c>
      <c r="F140" s="124"/>
    </row>
    <row r="141" spans="1:6" s="123" customFormat="1" ht="24" customHeight="1">
      <c r="A141" s="125"/>
      <c r="B141" s="125"/>
      <c r="C141" s="121" t="s">
        <v>110</v>
      </c>
      <c r="D141" s="120">
        <f>D140/Laptops_in_school</f>
        <v>417.5</v>
      </c>
      <c r="F141" s="124"/>
    </row>
    <row r="142" spans="1:6" s="123" customFormat="1" ht="21.75" customHeight="1">
      <c r="A142" s="125"/>
      <c r="B142" s="125"/>
      <c r="C142" s="121" t="s">
        <v>112</v>
      </c>
      <c r="D142" s="126">
        <f>SUM(D133:D139)/Laptops_in_school</f>
        <v>182</v>
      </c>
      <c r="F142" s="124"/>
    </row>
    <row r="143" spans="1:4" ht="24" customHeight="1">
      <c r="A143" s="125"/>
      <c r="B143" s="125"/>
      <c r="C143" s="121" t="s">
        <v>113</v>
      </c>
      <c r="D143" s="120">
        <f>IF(EXACT($B$7,"DSL"),DSL_Monthly_Cost,IF(EXACT($B$7,"VSAT"),VSAT_Monthly_Cost,IF(EXACT($B$7,"GSM"),GSM_Monthly_Cost,0)))</f>
        <v>40</v>
      </c>
    </row>
    <row r="144" ht="21.75" customHeight="1"/>
    <row r="145" spans="1:4" ht="21" customHeight="1">
      <c r="A145" s="114" t="s">
        <v>127</v>
      </c>
      <c r="B145" s="115" t="s">
        <v>100</v>
      </c>
      <c r="C145" s="116" t="s">
        <v>101</v>
      </c>
      <c r="D145" s="115" t="s">
        <v>44</v>
      </c>
    </row>
    <row r="146" spans="1:4" ht="15">
      <c r="A146" s="97" t="s">
        <v>83</v>
      </c>
      <c r="B146" s="117">
        <f>Laptop_Cost</f>
        <v>209</v>
      </c>
      <c r="C146" s="97">
        <f>Laptops_in_school</f>
        <v>60</v>
      </c>
      <c r="D146" s="37">
        <f aca="true" t="shared" si="6" ref="D146:D155">C146*B146</f>
        <v>12540</v>
      </c>
    </row>
    <row r="147" spans="1:4" ht="15">
      <c r="A147" s="97" t="s">
        <v>102</v>
      </c>
      <c r="B147" s="118">
        <f>IF(EXACT($C$19,"small server"),Small_Server_Cost,Large_Server_Cost)</f>
        <v>800</v>
      </c>
      <c r="C147" s="97">
        <f>$B$19</f>
        <v>1</v>
      </c>
      <c r="D147" s="37">
        <f t="shared" si="6"/>
        <v>800</v>
      </c>
    </row>
    <row r="148" spans="1:4" ht="15">
      <c r="A148" s="97" t="s">
        <v>103</v>
      </c>
      <c r="B148" s="118">
        <f>Disk_Cost</f>
        <v>200</v>
      </c>
      <c r="C148" s="97">
        <f>CEILING($B$35/Disk_size,1)*$B$19</f>
        <v>1</v>
      </c>
      <c r="D148" s="37">
        <f t="shared" si="6"/>
        <v>200</v>
      </c>
    </row>
    <row r="149" spans="1:4" ht="15">
      <c r="A149" s="97" t="s">
        <v>104</v>
      </c>
      <c r="B149" s="117">
        <f>AP_Cost</f>
        <v>120</v>
      </c>
      <c r="C149" s="97">
        <f>$B$20</f>
        <v>2</v>
      </c>
      <c r="D149" s="37">
        <f t="shared" si="6"/>
        <v>240</v>
      </c>
    </row>
    <row r="150" spans="1:4" ht="15">
      <c r="A150" s="97" t="s">
        <v>105</v>
      </c>
      <c r="B150" s="117">
        <f>SW_Cost</f>
        <v>120</v>
      </c>
      <c r="C150" s="97">
        <f>$B$21</f>
        <v>1</v>
      </c>
      <c r="D150" s="37">
        <f t="shared" si="6"/>
        <v>120</v>
      </c>
    </row>
    <row r="151" spans="1:4" ht="15">
      <c r="A151" s="97" t="s">
        <v>53</v>
      </c>
      <c r="B151" s="117">
        <f>IF(EXACT($B$7,"DSL"),DSL_Cost,IF(EXACT($B$7,"VSAT"),VSAT_Cost,IF(EXACT($B$7,"GSM"),GSM_Cost,0)))</f>
        <v>200</v>
      </c>
      <c r="C151" s="97">
        <v>1</v>
      </c>
      <c r="D151" s="37">
        <f t="shared" si="6"/>
        <v>200</v>
      </c>
    </row>
    <row r="152" spans="1:4" ht="15">
      <c r="A152" s="97" t="s">
        <v>106</v>
      </c>
      <c r="B152" s="117">
        <f>Cat5_Cost</f>
        <v>10</v>
      </c>
      <c r="C152" s="97">
        <f>C149+C150</f>
        <v>3</v>
      </c>
      <c r="D152" s="37">
        <f t="shared" si="6"/>
        <v>30</v>
      </c>
    </row>
    <row r="153" spans="1:6" s="97" customFormat="1" ht="15">
      <c r="A153" s="97" t="s">
        <v>128</v>
      </c>
      <c r="B153" s="117">
        <f>Generator_Cost</f>
        <v>500</v>
      </c>
      <c r="C153" s="97">
        <f>CEILING($B$29/Generator_KW,1)</f>
        <v>1</v>
      </c>
      <c r="D153" s="37">
        <f t="shared" si="6"/>
        <v>500</v>
      </c>
      <c r="F153" s="105"/>
    </row>
    <row r="154" spans="1:6" s="97" customFormat="1" ht="15">
      <c r="A154" s="97" t="s">
        <v>129</v>
      </c>
      <c r="B154" s="117">
        <f>Outlet_Cost</f>
        <v>40</v>
      </c>
      <c r="C154" s="97">
        <f>CEILING(Laptops_in_school/Students_per_outlet,1)</f>
        <v>2</v>
      </c>
      <c r="D154" s="37">
        <f t="shared" si="6"/>
        <v>80</v>
      </c>
      <c r="F154" s="105"/>
    </row>
    <row r="155" spans="1:4" ht="15">
      <c r="A155" s="97" t="s">
        <v>108</v>
      </c>
      <c r="B155" s="117">
        <f>Power_Strip_Cost</f>
        <v>10</v>
      </c>
      <c r="C155" s="97">
        <f>Laptops_in_school/Students_per_strip+IF(Laptops_in_school&gt;Students_per_strip,CEILING(Laptops_in_school/POWER(Students_per_strip,2),1),0)+IF(Laptops_in_school&gt;POWER(Students_per_strip,2),CEILING(Laptops_in_school/POWER(Students_per_strip,3),1),0)+IF(Laptops_in_school&gt;POWER(Students_per_strip,3),CEILING(Laptops_in_school/POWER(Students_per_strip,4),1),0)+C147+C150</f>
        <v>18</v>
      </c>
      <c r="D155" s="37">
        <f t="shared" si="6"/>
        <v>180</v>
      </c>
    </row>
    <row r="156" spans="1:6" s="123" customFormat="1" ht="24" customHeight="1">
      <c r="A156" s="119"/>
      <c r="B156" s="120"/>
      <c r="C156" s="121" t="s">
        <v>109</v>
      </c>
      <c r="D156" s="122">
        <f>SUM(D146:D155)</f>
        <v>14890</v>
      </c>
      <c r="F156" s="124"/>
    </row>
    <row r="157" spans="1:6" s="123" customFormat="1" ht="24" customHeight="1">
      <c r="A157" s="125"/>
      <c r="B157" s="125"/>
      <c r="C157" s="121" t="s">
        <v>110</v>
      </c>
      <c r="D157" s="120">
        <f>D156/Laptops_in_school</f>
        <v>248.16666666666666</v>
      </c>
      <c r="F157" s="124"/>
    </row>
    <row r="158" spans="1:6" s="123" customFormat="1" ht="21.75" customHeight="1">
      <c r="A158" s="125"/>
      <c r="B158" s="125"/>
      <c r="C158" s="121" t="s">
        <v>112</v>
      </c>
      <c r="D158" s="126">
        <f>SUM(D153:D155)/Laptops_in_school</f>
        <v>12.666666666666666</v>
      </c>
      <c r="F158" s="124"/>
    </row>
    <row r="159" spans="1:4" ht="24" customHeight="1">
      <c r="A159" s="125"/>
      <c r="B159" s="125"/>
      <c r="C159" s="121" t="s">
        <v>113</v>
      </c>
      <c r="D159" s="120">
        <f>IF(EXACT($B$7,"DSL"),DSL_Monthly_Cost,IF(EXACT($B$7,"VSAT"),VSAT_Monthly_Cost,IF(EXACT($B$7,"GSM"),GSM_Monthly_Cost,0)))+School_Days_in_Month*$B$30*Generator_KW_Cost</f>
        <v>86.976</v>
      </c>
    </row>
    <row r="160" ht="24" customHeight="1"/>
    <row r="161" spans="1:4" ht="19.5" customHeight="1">
      <c r="A161" s="114" t="s">
        <v>130</v>
      </c>
      <c r="B161" s="115" t="s">
        <v>100</v>
      </c>
      <c r="C161" s="116" t="s">
        <v>101</v>
      </c>
      <c r="D161" s="115" t="s">
        <v>44</v>
      </c>
    </row>
    <row r="162" spans="1:4" ht="15">
      <c r="A162" s="97" t="s">
        <v>83</v>
      </c>
      <c r="B162" s="117">
        <f>Laptop_Cost</f>
        <v>209</v>
      </c>
      <c r="C162" s="97">
        <f>Laptops_in_school</f>
        <v>60</v>
      </c>
      <c r="D162" s="37">
        <f aca="true" t="shared" si="7" ref="D162:D175">C162*B162</f>
        <v>12540</v>
      </c>
    </row>
    <row r="163" spans="1:4" ht="15">
      <c r="A163" s="97" t="s">
        <v>102</v>
      </c>
      <c r="B163" s="118">
        <f>IF(EXACT($C$19,"small server"),Small_Server_Cost,Large_Server_Cost)</f>
        <v>800</v>
      </c>
      <c r="C163" s="97">
        <f>$B$19</f>
        <v>1</v>
      </c>
      <c r="D163" s="37">
        <f t="shared" si="7"/>
        <v>800</v>
      </c>
    </row>
    <row r="164" spans="1:4" ht="15">
      <c r="A164" s="97" t="s">
        <v>103</v>
      </c>
      <c r="B164" s="118">
        <f>Disk_Cost</f>
        <v>200</v>
      </c>
      <c r="C164" s="97">
        <f>CEILING($B$35/Disk_size,1)*$B$19</f>
        <v>1</v>
      </c>
      <c r="D164" s="37">
        <f t="shared" si="7"/>
        <v>200</v>
      </c>
    </row>
    <row r="165" spans="1:4" ht="15">
      <c r="A165" s="97" t="s">
        <v>104</v>
      </c>
      <c r="B165" s="117">
        <f>AP_Cost</f>
        <v>120</v>
      </c>
      <c r="C165" s="97">
        <f>$B$20</f>
        <v>2</v>
      </c>
      <c r="D165" s="37">
        <f t="shared" si="7"/>
        <v>240</v>
      </c>
    </row>
    <row r="166" spans="1:4" ht="15">
      <c r="A166" s="97" t="s">
        <v>105</v>
      </c>
      <c r="B166" s="117">
        <f>SW_Cost</f>
        <v>120</v>
      </c>
      <c r="C166" s="97">
        <f>$B$21</f>
        <v>1</v>
      </c>
      <c r="D166" s="37">
        <f t="shared" si="7"/>
        <v>120</v>
      </c>
    </row>
    <row r="167" spans="1:4" ht="15">
      <c r="A167" s="97" t="s">
        <v>53</v>
      </c>
      <c r="B167" s="117">
        <f>IF(EXACT($B$7,"DSL"),DSL_Cost,IF(EXACT($B$7,"VSAT"),VSAT_Cost,IF(EXACT($B$7,"GSM"),GSM_Cost,0)))</f>
        <v>200</v>
      </c>
      <c r="C167" s="97">
        <v>1</v>
      </c>
      <c r="D167" s="37">
        <f t="shared" si="7"/>
        <v>200</v>
      </c>
    </row>
    <row r="168" spans="1:4" ht="15">
      <c r="A168" s="97" t="s">
        <v>106</v>
      </c>
      <c r="B168" s="117">
        <f>Cat5_Cost</f>
        <v>10</v>
      </c>
      <c r="C168" s="97">
        <f>C165+C166</f>
        <v>3</v>
      </c>
      <c r="D168" s="37">
        <f t="shared" si="7"/>
        <v>30</v>
      </c>
    </row>
    <row r="169" spans="1:8" s="97" customFormat="1" ht="15">
      <c r="A169" s="97" t="s">
        <v>120</v>
      </c>
      <c r="B169" s="117">
        <f>Large_Solar_Panel_Cost</f>
        <v>5000</v>
      </c>
      <c r="C169" s="97">
        <f>CEILING((D25+D26)/(Sunlight_Hours*Charge_Controller_Efficiency),0.2)</f>
        <v>0.2</v>
      </c>
      <c r="D169" s="37">
        <f t="shared" si="7"/>
        <v>1000</v>
      </c>
      <c r="F169" s="105"/>
      <c r="H169" s="89"/>
    </row>
    <row r="170" spans="1:6" s="97" customFormat="1" ht="15">
      <c r="A170" s="105" t="s">
        <v>121</v>
      </c>
      <c r="B170" s="117">
        <f>Inverter_Cost</f>
        <v>2000</v>
      </c>
      <c r="C170" s="97">
        <f>CEILING((B25+B26),1)</f>
        <v>1</v>
      </c>
      <c r="D170" s="37">
        <f t="shared" si="7"/>
        <v>2000</v>
      </c>
      <c r="F170" s="105"/>
    </row>
    <row r="171" spans="1:6" s="97" customFormat="1" ht="15">
      <c r="A171" s="97" t="s">
        <v>122</v>
      </c>
      <c r="B171" s="117">
        <f>Large_Battery_Cost</f>
        <v>1500</v>
      </c>
      <c r="C171" s="97">
        <f>CEILING(($D$25+$D$26),0.5)+CEILING((($D$25+$D$26)*Storage_Days),0.5)</f>
        <v>1</v>
      </c>
      <c r="D171" s="37">
        <f t="shared" si="7"/>
        <v>1500</v>
      </c>
      <c r="F171" s="105"/>
    </row>
    <row r="172" spans="1:6" s="97" customFormat="1" ht="15">
      <c r="A172" s="97" t="s">
        <v>123</v>
      </c>
      <c r="B172" s="117">
        <f>Charge_Controller_Cost</f>
        <v>500</v>
      </c>
      <c r="C172" s="97">
        <f>CEILING(C169/1.4,1)</f>
        <v>1</v>
      </c>
      <c r="D172" s="37">
        <f t="shared" si="7"/>
        <v>500</v>
      </c>
      <c r="F172" s="105"/>
    </row>
    <row r="173" spans="1:4" ht="15">
      <c r="A173" s="97" t="s">
        <v>131</v>
      </c>
      <c r="B173" s="117">
        <f>Solar_Panel_Cost</f>
        <v>42</v>
      </c>
      <c r="C173" s="97">
        <f>Laptops_in_school</f>
        <v>60</v>
      </c>
      <c r="D173" s="37">
        <f t="shared" si="7"/>
        <v>2520</v>
      </c>
    </row>
    <row r="174" spans="1:4" ht="15">
      <c r="A174" s="97" t="s">
        <v>132</v>
      </c>
      <c r="B174" s="117">
        <f>DC_Power_Share_Cost/DC_Power_Share_per_person</f>
        <v>3.75</v>
      </c>
      <c r="C174" s="97">
        <f>Laptops_in_school</f>
        <v>60</v>
      </c>
      <c r="D174" s="37">
        <f t="shared" si="7"/>
        <v>225</v>
      </c>
    </row>
    <row r="175" spans="1:4" ht="15">
      <c r="A175" s="97" t="s">
        <v>108</v>
      </c>
      <c r="B175" s="117">
        <f>Power_Strip_Cost</f>
        <v>10</v>
      </c>
      <c r="C175" s="97">
        <f>C163+C166</f>
        <v>2</v>
      </c>
      <c r="D175" s="37">
        <f t="shared" si="7"/>
        <v>20</v>
      </c>
    </row>
    <row r="176" spans="1:4" ht="24" customHeight="1">
      <c r="A176" s="119"/>
      <c r="B176" s="120"/>
      <c r="C176" s="121" t="s">
        <v>109</v>
      </c>
      <c r="D176" s="122">
        <f>SUM(D162:D175)</f>
        <v>21895</v>
      </c>
    </row>
    <row r="177" spans="1:4" ht="24" customHeight="1">
      <c r="A177" s="125"/>
      <c r="B177" s="125"/>
      <c r="C177" s="121" t="s">
        <v>110</v>
      </c>
      <c r="D177" s="120">
        <f>D176/Laptops_in_school</f>
        <v>364.9166666666667</v>
      </c>
    </row>
    <row r="178" spans="1:6" s="123" customFormat="1" ht="21.75" customHeight="1">
      <c r="A178" s="125"/>
      <c r="B178" s="125"/>
      <c r="C178" s="121" t="s">
        <v>112</v>
      </c>
      <c r="D178" s="126">
        <f>SUM(D173:D175)/Laptops_in_school</f>
        <v>46.083333333333336</v>
      </c>
      <c r="F178" s="124"/>
    </row>
    <row r="179" spans="1:4" ht="24" customHeight="1">
      <c r="A179" s="125"/>
      <c r="B179" s="125"/>
      <c r="C179" s="121" t="s">
        <v>113</v>
      </c>
      <c r="D179" s="120">
        <f>IF(EXACT($B$7,"DSL"),DSL_Monthly_Cost,IF(EXACT($B$7,"VSAT"),VSAT_Monthly_Cost,IF(EXACT($B$7,"GSM"),GSM_Monthly_Cost,0)))</f>
        <v>40</v>
      </c>
    </row>
  </sheetData>
  <mergeCells count="3">
    <mergeCell ref="A2:E2"/>
    <mergeCell ref="A17:E17"/>
    <mergeCell ref="A37:E37"/>
  </mergeCells>
  <printOptions/>
  <pageMargins left="0.7479166666666667" right="0.7479166666666667" top="0.984027777777778" bottom="0.984027777777778" header="0.5118055555555556" footer="0.5118055555555556"/>
  <pageSetup horizontalDpi="300" verticalDpi="300" orientation="portrait"/>
  <headerFooter alignWithMargins="0">
    <oddHeader>&amp;L&amp;"Arial,Bold"&amp;12Individual School Estimate&amp;R&amp;"Arial,Bold"&amp;12OLPC Deployment Workbook</oddHeader>
    <oddFooter>&amp;C&amp;"Arial,Italic"page &amp;P of &amp;N&amp;R&amp;"Arial,Italic"&amp;D</oddFooter>
  </headerFooter>
  <rowBreaks count="1" manualBreakCount="1">
    <brk id="36" max="255" man="1"/>
  </rowBreak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8"/>
  <sheetViews>
    <sheetView workbookViewId="0" topLeftCell="A1">
      <selection activeCell="E5" activeCellId="1" sqref="A2:IV2 E5"/>
    </sheetView>
  </sheetViews>
  <sheetFormatPr defaultColWidth="11.00390625" defaultRowHeight="12.75"/>
  <cols>
    <col min="1" max="1" width="26.00390625" style="97" customWidth="1"/>
    <col min="2" max="2" width="10.75390625" style="97" customWidth="1"/>
    <col min="3" max="3" width="11.375" style="37" customWidth="1"/>
    <col min="4" max="4" width="10.25390625" style="97" customWidth="1"/>
    <col min="5" max="5" width="12.00390625" style="97" customWidth="1"/>
    <col min="6" max="16384" width="10.75390625" style="97" customWidth="1"/>
  </cols>
  <sheetData>
    <row r="1" spans="1:5" ht="48.75" customHeight="1">
      <c r="A1" s="129" t="s">
        <v>133</v>
      </c>
      <c r="B1" s="129"/>
      <c r="C1" s="129"/>
      <c r="D1" s="129"/>
      <c r="E1" s="129"/>
    </row>
    <row r="2" spans="1:5" ht="39" customHeight="1">
      <c r="A2" s="129" t="s">
        <v>134</v>
      </c>
      <c r="B2" s="129"/>
      <c r="C2" s="129"/>
      <c r="D2" s="129"/>
      <c r="E2" s="129"/>
    </row>
    <row r="3" spans="1:5" ht="18.75" customHeight="1">
      <c r="A3" s="130" t="s">
        <v>135</v>
      </c>
      <c r="B3" s="130"/>
      <c r="C3" s="130"/>
      <c r="D3" s="130"/>
      <c r="E3" s="130"/>
    </row>
    <row r="4" spans="1:4" ht="15">
      <c r="A4" s="131"/>
      <c r="B4" s="132" t="s">
        <v>136</v>
      </c>
      <c r="C4" s="133"/>
      <c r="D4" s="116" t="s">
        <v>137</v>
      </c>
    </row>
    <row r="5" spans="1:5" ht="15">
      <c r="A5" s="134" t="s">
        <v>138</v>
      </c>
      <c r="B5" s="135">
        <v>205</v>
      </c>
      <c r="D5" s="97">
        <v>40</v>
      </c>
      <c r="E5" s="97" t="s">
        <v>139</v>
      </c>
    </row>
    <row r="6" spans="1:4" ht="15">
      <c r="A6" s="136" t="s">
        <v>140</v>
      </c>
      <c r="B6" s="137"/>
      <c r="C6" s="138"/>
      <c r="D6" s="139"/>
    </row>
    <row r="7" spans="1:3" ht="15">
      <c r="A7" s="92" t="s">
        <v>141</v>
      </c>
      <c r="B7" s="140">
        <v>4</v>
      </c>
      <c r="C7" s="37" t="s">
        <v>142</v>
      </c>
    </row>
    <row r="8" spans="1:2" ht="15">
      <c r="A8" s="92" t="s">
        <v>143</v>
      </c>
      <c r="B8" s="141">
        <v>0</v>
      </c>
    </row>
    <row r="9" spans="1:3" s="105" customFormat="1" ht="15">
      <c r="A9" s="142"/>
      <c r="B9" s="143"/>
      <c r="C9" s="144"/>
    </row>
    <row r="10" spans="1:5" ht="21.75" customHeight="1">
      <c r="A10" s="130" t="s">
        <v>144</v>
      </c>
      <c r="B10" s="130"/>
      <c r="C10" s="130"/>
      <c r="D10" s="130"/>
      <c r="E10" s="130"/>
    </row>
    <row r="11" spans="1:5" s="105" customFormat="1" ht="24.75" customHeight="1">
      <c r="A11" s="145" t="s">
        <v>145</v>
      </c>
      <c r="B11" s="145"/>
      <c r="C11" s="145"/>
      <c r="D11" s="145"/>
      <c r="E11" s="145"/>
    </row>
    <row r="12" spans="1:5" s="149" customFormat="1" ht="30.75" customHeight="1">
      <c r="A12" s="146" t="s">
        <v>146</v>
      </c>
      <c r="B12" s="147">
        <f>SUM(B5:B8)</f>
        <v>209</v>
      </c>
      <c r="C12" s="120"/>
      <c r="D12" s="119"/>
      <c r="E12" s="148"/>
    </row>
    <row r="13" spans="1:2" ht="22.5" customHeight="1">
      <c r="A13" s="150"/>
      <c r="B13" s="137"/>
    </row>
    <row r="14" spans="1:5" ht="18.75" customHeight="1">
      <c r="A14" s="130" t="s">
        <v>147</v>
      </c>
      <c r="B14" s="130"/>
      <c r="C14" s="130"/>
      <c r="D14" s="130"/>
      <c r="E14" s="130"/>
    </row>
    <row r="15" spans="1:5" ht="24.75" customHeight="1">
      <c r="A15" s="129" t="s">
        <v>148</v>
      </c>
      <c r="B15" s="129"/>
      <c r="C15" s="129"/>
      <c r="D15" s="129"/>
      <c r="E15" s="129"/>
    </row>
    <row r="16" spans="1:5" ht="39" customHeight="1">
      <c r="A16" s="129" t="s">
        <v>149</v>
      </c>
      <c r="B16" s="129"/>
      <c r="C16" s="129"/>
      <c r="D16" s="129"/>
      <c r="E16" s="129"/>
    </row>
    <row r="17" spans="1:5" ht="36" customHeight="1">
      <c r="A17" s="129" t="s">
        <v>150</v>
      </c>
      <c r="B17" s="129"/>
      <c r="C17" s="129"/>
      <c r="D17" s="129"/>
      <c r="E17" s="129"/>
    </row>
    <row r="18" spans="1:4" ht="43.5">
      <c r="A18" s="151" t="s">
        <v>147</v>
      </c>
      <c r="B18" s="152" t="s">
        <v>151</v>
      </c>
      <c r="C18" s="153" t="s">
        <v>152</v>
      </c>
      <c r="D18" s="152" t="s">
        <v>153</v>
      </c>
    </row>
    <row r="19" spans="1:4" ht="15">
      <c r="A19" s="97" t="s">
        <v>154</v>
      </c>
      <c r="B19" s="154">
        <f aca="true" t="shared" si="0" ref="B19:B26">C19*D19</f>
        <v>0.17416666666666666</v>
      </c>
      <c r="C19" s="137">
        <f>Laptop_Cost</f>
        <v>209</v>
      </c>
      <c r="D19" s="155">
        <f>0.01/12</f>
        <v>0.0008333333333333334</v>
      </c>
    </row>
    <row r="20" spans="1:4" ht="15">
      <c r="A20" s="97" t="s">
        <v>155</v>
      </c>
      <c r="B20" s="154">
        <f t="shared" si="0"/>
        <v>0.06666666666666667</v>
      </c>
      <c r="C20" s="137">
        <v>80</v>
      </c>
      <c r="D20" s="155">
        <f>0.01/12</f>
        <v>0.0008333333333333334</v>
      </c>
    </row>
    <row r="21" spans="1:4" ht="15">
      <c r="A21" s="97" t="s">
        <v>156</v>
      </c>
      <c r="B21" s="154">
        <f t="shared" si="0"/>
        <v>0.01</v>
      </c>
      <c r="C21" s="137">
        <v>12</v>
      </c>
      <c r="D21" s="155">
        <f>0.01/12</f>
        <v>0.0008333333333333334</v>
      </c>
    </row>
    <row r="22" spans="1:4" ht="15">
      <c r="A22" s="97" t="s">
        <v>157</v>
      </c>
      <c r="B22" s="154">
        <f>C22*D22</f>
        <v>0.006666666666666666</v>
      </c>
      <c r="C22" s="137">
        <v>20</v>
      </c>
      <c r="D22" s="155">
        <f>0.004/12</f>
        <v>0.0003333333333333333</v>
      </c>
    </row>
    <row r="23" spans="1:4" ht="15">
      <c r="A23" s="97" t="s">
        <v>158</v>
      </c>
      <c r="B23" s="154">
        <f t="shared" si="0"/>
        <v>0.011111111111111112</v>
      </c>
      <c r="C23" s="137">
        <v>20</v>
      </c>
      <c r="D23" s="155">
        <f>1/(150*12)</f>
        <v>0.0005555555555555556</v>
      </c>
    </row>
    <row r="24" spans="1:4" ht="15">
      <c r="A24" s="97" t="s">
        <v>159</v>
      </c>
      <c r="B24" s="154">
        <f t="shared" si="0"/>
        <v>0.041666666666666664</v>
      </c>
      <c r="C24" s="137">
        <v>10</v>
      </c>
      <c r="D24" s="155">
        <f>0.25/60</f>
        <v>0.004166666666666667</v>
      </c>
    </row>
    <row r="25" spans="1:4" ht="15">
      <c r="A25" s="97" t="s">
        <v>160</v>
      </c>
      <c r="B25" s="154">
        <f t="shared" si="0"/>
        <v>0.017777777777777778</v>
      </c>
      <c r="C25" s="137">
        <v>8</v>
      </c>
      <c r="D25" s="155">
        <f>D20+D21+D23</f>
        <v>0.0022222222222222222</v>
      </c>
    </row>
    <row r="26" spans="1:4" ht="15">
      <c r="A26" s="131" t="s">
        <v>161</v>
      </c>
      <c r="B26" s="156">
        <f t="shared" si="0"/>
        <v>0.016666666666666666</v>
      </c>
      <c r="C26" s="157">
        <f>Repair_kit_Cost</f>
        <v>40</v>
      </c>
      <c r="D26" s="158">
        <f>1/(200*12)</f>
        <v>0.0004166666666666667</v>
      </c>
    </row>
    <row r="27" spans="1:5" s="149" customFormat="1" ht="28.5" customHeight="1">
      <c r="A27" s="146" t="s">
        <v>162</v>
      </c>
      <c r="B27" s="159">
        <f>SUM(B19:B25)</f>
        <v>0.32805555555555554</v>
      </c>
      <c r="C27" s="160" t="s">
        <v>163</v>
      </c>
      <c r="D27" s="119"/>
      <c r="E27" s="148"/>
    </row>
    <row r="28" spans="2:4" ht="15">
      <c r="B28" s="161"/>
      <c r="C28" s="137"/>
      <c r="D28" s="139"/>
    </row>
  </sheetData>
  <mergeCells count="9">
    <mergeCell ref="A1:E1"/>
    <mergeCell ref="A2:E2"/>
    <mergeCell ref="A3:E3"/>
    <mergeCell ref="A10:E10"/>
    <mergeCell ref="A11:E11"/>
    <mergeCell ref="A14:E14"/>
    <mergeCell ref="A15:E15"/>
    <mergeCell ref="A16:E16"/>
    <mergeCell ref="A17:E17"/>
  </mergeCells>
  <printOptions/>
  <pageMargins left="0.7479166666666667" right="0.7479166666666667" top="0.9840277777777777" bottom="0.9840277777777777" header="0.5" footer="0.5"/>
  <pageSetup horizontalDpi="300" verticalDpi="300" orientation="portrait"/>
  <headerFooter alignWithMargins="0">
    <oddHeader>&amp;L&amp;"Arial,Bold"&amp;12Laptop Costs&amp;R&amp;"Arial,Bold"&amp;12OLPC Deployment Worksheet</oddHeader>
    <oddFooter>&amp;C&amp;"Arial,Italic"page &amp;P of &amp;N&amp;R&amp;"Arial,Italic"&amp;D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89"/>
  <sheetViews>
    <sheetView workbookViewId="0" topLeftCell="A1">
      <selection activeCell="F80" activeCellId="1" sqref="A2:IV2 F80"/>
    </sheetView>
  </sheetViews>
  <sheetFormatPr defaultColWidth="11.00390625" defaultRowHeight="12.75"/>
  <cols>
    <col min="1" max="1" width="19.375" style="97" customWidth="1"/>
    <col min="2" max="2" width="13.375" style="37" customWidth="1"/>
    <col min="3" max="3" width="32.625" style="97" customWidth="1"/>
    <col min="4" max="4" width="7.25390625" style="162" customWidth="1"/>
    <col min="5" max="5" width="10.75390625" style="97" customWidth="1"/>
    <col min="6" max="6" width="10.75390625" style="163" customWidth="1"/>
    <col min="7" max="16384" width="10.75390625" style="97" customWidth="1"/>
  </cols>
  <sheetData>
    <row r="1" spans="1:6" s="165" customFormat="1" ht="54.75" customHeight="1">
      <c r="A1" s="129" t="s">
        <v>164</v>
      </c>
      <c r="B1" s="129"/>
      <c r="C1" s="129"/>
      <c r="D1" s="129"/>
      <c r="E1" s="129"/>
      <c r="F1" s="164"/>
    </row>
    <row r="2" spans="1:6" s="165" customFormat="1" ht="25.5" customHeight="1">
      <c r="A2" s="129" t="s">
        <v>165</v>
      </c>
      <c r="B2" s="129"/>
      <c r="C2" s="129"/>
      <c r="D2" s="129"/>
      <c r="E2" s="129"/>
      <c r="F2" s="164"/>
    </row>
    <row r="3" spans="1:4" ht="18.75" customHeight="1">
      <c r="A3" s="166" t="s">
        <v>166</v>
      </c>
      <c r="B3" s="166"/>
      <c r="C3" s="166"/>
      <c r="D3" s="166"/>
    </row>
    <row r="4" spans="1:4" ht="29.25">
      <c r="A4" s="151" t="s">
        <v>167</v>
      </c>
      <c r="B4" s="153" t="s">
        <v>168</v>
      </c>
      <c r="C4" s="116"/>
      <c r="D4" s="152" t="s">
        <v>169</v>
      </c>
    </row>
    <row r="5" spans="1:4" ht="15">
      <c r="A5" s="97" t="s">
        <v>170</v>
      </c>
      <c r="B5" s="135">
        <v>1200</v>
      </c>
      <c r="D5" s="167">
        <v>80</v>
      </c>
    </row>
    <row r="6" ht="15">
      <c r="A6" s="92" t="s">
        <v>171</v>
      </c>
    </row>
    <row r="7" spans="1:3" ht="15">
      <c r="A7" s="92" t="s">
        <v>172</v>
      </c>
      <c r="C7" s="97" t="s">
        <v>173</v>
      </c>
    </row>
    <row r="8" spans="1:3" ht="34.5" customHeight="1">
      <c r="A8" s="168" t="s">
        <v>174</v>
      </c>
      <c r="B8" s="169">
        <v>200</v>
      </c>
      <c r="C8" s="170" t="s">
        <v>175</v>
      </c>
    </row>
    <row r="9" ht="15">
      <c r="A9" s="97" t="s">
        <v>176</v>
      </c>
    </row>
    <row r="10" spans="2:3" ht="15">
      <c r="B10" s="171">
        <v>1024</v>
      </c>
      <c r="C10" s="97" t="s">
        <v>177</v>
      </c>
    </row>
    <row r="12" spans="1:4" ht="15">
      <c r="A12" s="97" t="s">
        <v>178</v>
      </c>
      <c r="B12" s="135">
        <v>800</v>
      </c>
      <c r="C12" s="97" t="s">
        <v>179</v>
      </c>
      <c r="D12" s="167">
        <v>22</v>
      </c>
    </row>
    <row r="13" ht="15">
      <c r="A13" s="92" t="s">
        <v>180</v>
      </c>
    </row>
    <row r="14" ht="15">
      <c r="A14" s="92" t="s">
        <v>181</v>
      </c>
    </row>
    <row r="15" spans="1:3" ht="33" customHeight="1">
      <c r="A15" s="92"/>
      <c r="C15" s="170" t="s">
        <v>175</v>
      </c>
    </row>
    <row r="16" ht="15">
      <c r="A16" s="92"/>
    </row>
    <row r="17" spans="1:3" ht="31.5" customHeight="1">
      <c r="A17" s="168" t="s">
        <v>182</v>
      </c>
      <c r="B17" s="169">
        <v>200</v>
      </c>
      <c r="C17" s="170" t="s">
        <v>183</v>
      </c>
    </row>
    <row r="19" spans="1:4" ht="15">
      <c r="A19" s="97" t="s">
        <v>184</v>
      </c>
      <c r="B19" s="135">
        <v>120</v>
      </c>
      <c r="C19" s="97" t="s">
        <v>185</v>
      </c>
      <c r="D19" s="167">
        <v>10</v>
      </c>
    </row>
    <row r="20" ht="15">
      <c r="A20" s="92" t="s">
        <v>186</v>
      </c>
    </row>
    <row r="22" spans="1:4" ht="15">
      <c r="A22" s="97" t="s">
        <v>187</v>
      </c>
      <c r="B22" s="135">
        <v>120</v>
      </c>
      <c r="D22" s="167">
        <v>10</v>
      </c>
    </row>
    <row r="23" spans="2:4" ht="15">
      <c r="B23" s="137"/>
      <c r="D23" s="172"/>
    </row>
    <row r="24" spans="1:3" ht="15">
      <c r="A24" s="97" t="s">
        <v>188</v>
      </c>
      <c r="B24" s="135">
        <v>10</v>
      </c>
      <c r="C24" s="97" t="s">
        <v>189</v>
      </c>
    </row>
    <row r="25" ht="15">
      <c r="B25" s="137"/>
    </row>
    <row r="26" spans="1:3" ht="60" customHeight="1">
      <c r="A26" s="165" t="s">
        <v>190</v>
      </c>
      <c r="B26" s="169">
        <v>40</v>
      </c>
      <c r="C26" s="170" t="s">
        <v>191</v>
      </c>
    </row>
    <row r="27" spans="1:3" ht="15.75" customHeight="1">
      <c r="A27" s="165"/>
      <c r="B27" s="173"/>
      <c r="C27" s="170"/>
    </row>
    <row r="28" spans="1:4" ht="19.5" customHeight="1">
      <c r="A28" s="166" t="s">
        <v>192</v>
      </c>
      <c r="B28" s="166"/>
      <c r="C28" s="166"/>
      <c r="D28" s="166"/>
    </row>
    <row r="29" spans="1:4" ht="29.25">
      <c r="A29" s="174" t="s">
        <v>167</v>
      </c>
      <c r="B29" s="153" t="s">
        <v>168</v>
      </c>
      <c r="C29" s="152"/>
      <c r="D29" s="152" t="s">
        <v>169</v>
      </c>
    </row>
    <row r="30" spans="1:4" ht="15">
      <c r="A30" s="97" t="s">
        <v>193</v>
      </c>
      <c r="B30" s="140">
        <v>200</v>
      </c>
      <c r="D30" s="167">
        <v>15</v>
      </c>
    </row>
    <row r="31" spans="1:3" ht="15">
      <c r="A31" s="92" t="s">
        <v>194</v>
      </c>
      <c r="B31" s="141">
        <v>40</v>
      </c>
      <c r="C31" s="97" t="s">
        <v>195</v>
      </c>
    </row>
    <row r="32" spans="1:2" ht="15">
      <c r="A32" s="92"/>
      <c r="B32" s="137"/>
    </row>
    <row r="33" spans="1:4" ht="15">
      <c r="A33" s="97" t="s">
        <v>196</v>
      </c>
      <c r="B33" s="140">
        <v>2000</v>
      </c>
      <c r="D33" s="167">
        <v>50</v>
      </c>
    </row>
    <row r="34" spans="1:3" ht="15">
      <c r="A34" s="92" t="s">
        <v>194</v>
      </c>
      <c r="B34" s="141">
        <v>100</v>
      </c>
      <c r="C34" s="97" t="s">
        <v>195</v>
      </c>
    </row>
    <row r="35" spans="1:2" ht="15">
      <c r="A35" s="92"/>
      <c r="B35" s="137"/>
    </row>
    <row r="36" spans="1:4" ht="15">
      <c r="A36" s="175" t="s">
        <v>197</v>
      </c>
      <c r="B36" s="140">
        <v>100</v>
      </c>
      <c r="D36" s="167">
        <v>5</v>
      </c>
    </row>
    <row r="37" spans="1:3" ht="15">
      <c r="A37" s="92" t="s">
        <v>198</v>
      </c>
      <c r="B37" s="141">
        <v>50</v>
      </c>
      <c r="C37" s="97" t="s">
        <v>195</v>
      </c>
    </row>
    <row r="39" spans="1:4" ht="15">
      <c r="A39" s="97" t="s">
        <v>199</v>
      </c>
      <c r="B39" s="140">
        <v>800</v>
      </c>
      <c r="D39" s="167">
        <v>10</v>
      </c>
    </row>
    <row r="40" spans="1:3" ht="15">
      <c r="A40" s="92" t="s">
        <v>200</v>
      </c>
      <c r="B40" s="141">
        <v>20</v>
      </c>
      <c r="C40" s="97" t="s">
        <v>195</v>
      </c>
    </row>
    <row r="43" spans="1:3" ht="15">
      <c r="A43" s="165"/>
      <c r="B43" s="176"/>
      <c r="C43" s="177"/>
    </row>
    <row r="44" spans="1:4" ht="18.75" customHeight="1">
      <c r="A44" s="166" t="s">
        <v>201</v>
      </c>
      <c r="B44" s="166"/>
      <c r="C44" s="166"/>
      <c r="D44" s="166"/>
    </row>
    <row r="45" spans="1:4" ht="29.25">
      <c r="A45" s="151" t="s">
        <v>167</v>
      </c>
      <c r="B45" s="153" t="s">
        <v>168</v>
      </c>
      <c r="C45" s="116"/>
      <c r="D45" s="178"/>
    </row>
    <row r="46" spans="1:3" ht="15">
      <c r="A46" s="97" t="s">
        <v>202</v>
      </c>
      <c r="B46" s="179">
        <v>42</v>
      </c>
      <c r="C46" s="97" t="s">
        <v>203</v>
      </c>
    </row>
    <row r="47" spans="1:3" ht="15">
      <c r="A47" s="97" t="s">
        <v>204</v>
      </c>
      <c r="B47" s="180">
        <v>5000</v>
      </c>
      <c r="C47" s="97" t="s">
        <v>205</v>
      </c>
    </row>
    <row r="48" spans="1:3" ht="15">
      <c r="A48" s="97" t="s">
        <v>206</v>
      </c>
      <c r="B48" s="180">
        <v>2000</v>
      </c>
      <c r="C48" s="97" t="s">
        <v>207</v>
      </c>
    </row>
    <row r="49" spans="1:3" ht="15">
      <c r="A49" s="97" t="s">
        <v>208</v>
      </c>
      <c r="B49" s="181">
        <v>500</v>
      </c>
      <c r="C49" s="97" t="s">
        <v>209</v>
      </c>
    </row>
    <row r="50" spans="1:2" ht="15">
      <c r="A50" s="92" t="s">
        <v>210</v>
      </c>
      <c r="B50" s="182">
        <v>0.9</v>
      </c>
    </row>
    <row r="51" spans="1:3" ht="15">
      <c r="A51" s="97" t="s">
        <v>158</v>
      </c>
      <c r="B51" s="183">
        <v>1500</v>
      </c>
      <c r="C51" s="97" t="s">
        <v>211</v>
      </c>
    </row>
    <row r="52" ht="15">
      <c r="B52" s="138"/>
    </row>
    <row r="53" spans="1:2" ht="15">
      <c r="A53" s="97" t="s">
        <v>212</v>
      </c>
      <c r="B53" s="138">
        <f>'Laptop Costs'!C24</f>
        <v>10</v>
      </c>
    </row>
    <row r="54" spans="2:3" ht="15">
      <c r="B54" s="184">
        <v>0.5</v>
      </c>
      <c r="C54" s="97" t="s">
        <v>213</v>
      </c>
    </row>
    <row r="56" spans="1:3" ht="15">
      <c r="A56" s="97" t="s">
        <v>214</v>
      </c>
      <c r="B56" s="183">
        <v>3000</v>
      </c>
      <c r="C56" s="97" t="s">
        <v>205</v>
      </c>
    </row>
    <row r="58" spans="1:3" ht="15">
      <c r="A58" s="97" t="s">
        <v>215</v>
      </c>
      <c r="B58" s="185">
        <v>0.12</v>
      </c>
      <c r="C58" s="97" t="s">
        <v>211</v>
      </c>
    </row>
    <row r="60" spans="1:3" ht="27.75">
      <c r="A60" s="177" t="s">
        <v>216</v>
      </c>
      <c r="B60" s="183">
        <v>10</v>
      </c>
      <c r="C60" s="97" t="s">
        <v>217</v>
      </c>
    </row>
    <row r="61" spans="1:3" ht="15">
      <c r="A61" s="177"/>
      <c r="B61" s="171">
        <v>5</v>
      </c>
      <c r="C61" s="97" t="s">
        <v>218</v>
      </c>
    </row>
    <row r="62" spans="1:3" ht="15">
      <c r="A62" s="97" t="s">
        <v>219</v>
      </c>
      <c r="B62" s="183">
        <v>40</v>
      </c>
      <c r="C62" s="97" t="s">
        <v>220</v>
      </c>
    </row>
    <row r="63" spans="2:3" ht="15">
      <c r="B63" s="171">
        <v>40</v>
      </c>
      <c r="C63" s="97" t="s">
        <v>221</v>
      </c>
    </row>
    <row r="64" spans="1:3" ht="15">
      <c r="A64" s="97" t="s">
        <v>222</v>
      </c>
      <c r="B64" s="179">
        <v>500</v>
      </c>
      <c r="C64" s="97" t="s">
        <v>223</v>
      </c>
    </row>
    <row r="65" spans="2:3" ht="15">
      <c r="B65" s="186">
        <v>3</v>
      </c>
      <c r="C65" s="97" t="s">
        <v>224</v>
      </c>
    </row>
    <row r="66" spans="1:3" ht="15">
      <c r="A66" s="97" t="s">
        <v>225</v>
      </c>
      <c r="B66" s="187">
        <f>2*B67/20</f>
        <v>0.8</v>
      </c>
      <c r="C66" s="97" t="s">
        <v>211</v>
      </c>
    </row>
    <row r="67" spans="1:3" ht="15">
      <c r="A67" s="92" t="s">
        <v>226</v>
      </c>
      <c r="B67" s="188">
        <v>8</v>
      </c>
      <c r="C67" s="97" t="s">
        <v>227</v>
      </c>
    </row>
    <row r="68" spans="1:2" ht="15">
      <c r="A68" s="92"/>
      <c r="B68" s="138"/>
    </row>
    <row r="69" spans="1:3" ht="15">
      <c r="A69" s="92" t="s">
        <v>115</v>
      </c>
      <c r="B69" s="183">
        <v>165</v>
      </c>
      <c r="C69" s="97" t="s">
        <v>228</v>
      </c>
    </row>
    <row r="70" spans="1:3" ht="15">
      <c r="A70" s="92"/>
      <c r="B70" s="189">
        <v>24</v>
      </c>
      <c r="C70" s="97" t="s">
        <v>229</v>
      </c>
    </row>
    <row r="71" spans="1:3" ht="15">
      <c r="A71" s="92"/>
      <c r="B71" s="184">
        <v>0.95</v>
      </c>
      <c r="C71" s="97" t="s">
        <v>213</v>
      </c>
    </row>
    <row r="72" spans="1:2" ht="15">
      <c r="A72" s="92"/>
      <c r="B72" s="189"/>
    </row>
    <row r="73" spans="1:2" ht="15">
      <c r="A73" s="92" t="s">
        <v>117</v>
      </c>
      <c r="B73" s="183">
        <v>350</v>
      </c>
    </row>
    <row r="74" spans="1:3" ht="15">
      <c r="A74" s="92"/>
      <c r="B74" s="189">
        <v>15</v>
      </c>
      <c r="C74" s="97" t="s">
        <v>230</v>
      </c>
    </row>
    <row r="75" spans="1:3" ht="15">
      <c r="A75" s="92" t="s">
        <v>231</v>
      </c>
      <c r="B75" s="183">
        <f>'Laptop Costs'!C23</f>
        <v>20</v>
      </c>
      <c r="C75" s="97" t="s">
        <v>232</v>
      </c>
    </row>
    <row r="76" spans="1:2" ht="15">
      <c r="A76" s="92"/>
      <c r="B76" s="138"/>
    </row>
    <row r="77" spans="1:3" ht="15">
      <c r="A77" s="92" t="s">
        <v>233</v>
      </c>
      <c r="B77" s="183">
        <v>15</v>
      </c>
      <c r="C77" s="97" t="s">
        <v>234</v>
      </c>
    </row>
    <row r="78" spans="1:3" ht="15">
      <c r="A78" s="92"/>
      <c r="B78" s="189">
        <v>4</v>
      </c>
      <c r="C78" s="97" t="s">
        <v>235</v>
      </c>
    </row>
    <row r="80" spans="1:4" ht="17.25">
      <c r="A80" s="166" t="s">
        <v>236</v>
      </c>
      <c r="B80" s="166"/>
      <c r="C80" s="166"/>
      <c r="D80" s="166"/>
    </row>
    <row r="81" spans="1:4" ht="51" customHeight="1">
      <c r="A81" s="190" t="s">
        <v>237</v>
      </c>
      <c r="B81" s="190"/>
      <c r="C81" s="190"/>
      <c r="D81" s="190"/>
    </row>
    <row r="82" ht="21" customHeight="1"/>
    <row r="83" spans="1:3" ht="27.75">
      <c r="A83" s="177" t="s">
        <v>238</v>
      </c>
      <c r="B83" s="171">
        <v>2</v>
      </c>
      <c r="C83" s="97" t="s">
        <v>239</v>
      </c>
    </row>
    <row r="84" spans="1:3" ht="15">
      <c r="A84" s="97" t="s">
        <v>240</v>
      </c>
      <c r="B84" s="171">
        <v>128</v>
      </c>
      <c r="C84" s="97" t="s">
        <v>241</v>
      </c>
    </row>
    <row r="85" ht="15">
      <c r="C85" s="97" t="s">
        <v>242</v>
      </c>
    </row>
    <row r="86" spans="1:3" ht="15">
      <c r="A86" s="97" t="s">
        <v>243</v>
      </c>
      <c r="B86" s="191">
        <f>2/1024</f>
        <v>0.001953125</v>
      </c>
      <c r="C86" s="97" t="s">
        <v>244</v>
      </c>
    </row>
    <row r="87" spans="1:3" ht="15">
      <c r="A87" s="97" t="s">
        <v>245</v>
      </c>
      <c r="B87" s="171">
        <v>20</v>
      </c>
      <c r="C87" s="97" t="s">
        <v>246</v>
      </c>
    </row>
    <row r="88" spans="1:2" ht="15">
      <c r="A88" s="97" t="s">
        <v>247</v>
      </c>
      <c r="B88" s="182">
        <v>0.6</v>
      </c>
    </row>
    <row r="89" spans="1:3" ht="15">
      <c r="A89" s="97" t="s">
        <v>248</v>
      </c>
      <c r="B89" s="192">
        <v>2</v>
      </c>
      <c r="C89" s="97" t="s">
        <v>249</v>
      </c>
    </row>
  </sheetData>
  <mergeCells count="7">
    <mergeCell ref="A1:D1"/>
    <mergeCell ref="A2:D2"/>
    <mergeCell ref="A3:D3"/>
    <mergeCell ref="A28:D28"/>
    <mergeCell ref="A44:D44"/>
    <mergeCell ref="A80:D80"/>
    <mergeCell ref="A81:D81"/>
  </mergeCells>
  <printOptions/>
  <pageMargins left="0.7479166666666667" right="0.7479166666666667" top="0.9840277777777777" bottom="0.9840277777777777" header="0.5" footer="0.5"/>
  <pageSetup horizontalDpi="300" verticalDpi="300" orientation="portrait"/>
  <headerFooter alignWithMargins="0">
    <oddHeader>&amp;L&amp;"Arial,Bold"&amp;12Estimated Component Costs&amp;R&amp;"Arial,Bold"&amp;12OLPC Deployment Worksheet</oddHeader>
    <oddFooter>&amp;C&amp;"Arial,Italic"page &amp;P of &amp;N&amp;R&amp;"Arial,Italic"&amp;D</oddFooter>
  </headerFooter>
  <rowBreaks count="1" manualBreakCount="1">
    <brk id="43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E29"/>
  <sheetViews>
    <sheetView workbookViewId="0" topLeftCell="A1">
      <selection activeCell="F26" activeCellId="1" sqref="A2:IV2 F26"/>
    </sheetView>
  </sheetViews>
  <sheetFormatPr defaultColWidth="11.00390625" defaultRowHeight="12.75"/>
  <cols>
    <col min="1" max="1" width="13.00390625" style="97" customWidth="1"/>
    <col min="2" max="2" width="37.00390625" style="177" customWidth="1"/>
    <col min="3" max="16384" width="10.75390625" style="97" customWidth="1"/>
  </cols>
  <sheetData>
    <row r="1" ht="15">
      <c r="A1" s="97" t="s">
        <v>250</v>
      </c>
    </row>
    <row r="2" ht="27" customHeight="1">
      <c r="A2" s="193" t="s">
        <v>251</v>
      </c>
    </row>
    <row r="3" spans="1:4" ht="21.75" customHeight="1">
      <c r="A3" s="194" t="s">
        <v>252</v>
      </c>
      <c r="B3" s="194"/>
      <c r="C3" s="194"/>
      <c r="D3" s="194"/>
    </row>
    <row r="4" ht="15">
      <c r="A4" s="134" t="s">
        <v>253</v>
      </c>
    </row>
    <row r="5" spans="2:4" ht="15">
      <c r="B5" s="177" t="s">
        <v>254</v>
      </c>
      <c r="C5" s="97" t="s">
        <v>255</v>
      </c>
      <c r="D5" s="97" t="s">
        <v>256</v>
      </c>
    </row>
    <row r="6" spans="2:4" ht="15">
      <c r="B6" s="177" t="s">
        <v>257</v>
      </c>
      <c r="C6" s="97" t="s">
        <v>255</v>
      </c>
      <c r="D6" s="97" t="s">
        <v>256</v>
      </c>
    </row>
    <row r="7" ht="15">
      <c r="A7" s="134" t="s">
        <v>258</v>
      </c>
    </row>
    <row r="8" spans="2:4" ht="15">
      <c r="B8" s="177" t="s">
        <v>259</v>
      </c>
      <c r="C8" s="97" t="s">
        <v>255</v>
      </c>
      <c r="D8" s="97" t="s">
        <v>256</v>
      </c>
    </row>
    <row r="9" spans="2:4" ht="15">
      <c r="B9" s="177" t="s">
        <v>260</v>
      </c>
      <c r="C9" s="97" t="s">
        <v>255</v>
      </c>
      <c r="D9" s="97" t="s">
        <v>256</v>
      </c>
    </row>
    <row r="10" spans="2:4" ht="15">
      <c r="B10" s="177" t="s">
        <v>261</v>
      </c>
      <c r="C10" s="97" t="s">
        <v>255</v>
      </c>
      <c r="D10" s="97" t="s">
        <v>256</v>
      </c>
    </row>
    <row r="11" spans="2:4" ht="15">
      <c r="B11" s="177" t="s">
        <v>262</v>
      </c>
      <c r="C11" s="97" t="s">
        <v>255</v>
      </c>
      <c r="D11" s="97" t="s">
        <v>256</v>
      </c>
    </row>
    <row r="12" spans="2:4" ht="41.25">
      <c r="B12" s="177" t="s">
        <v>263</v>
      </c>
      <c r="C12" s="97" t="s">
        <v>255</v>
      </c>
      <c r="D12" s="97" t="s">
        <v>256</v>
      </c>
    </row>
    <row r="13" ht="15">
      <c r="A13" s="134" t="s">
        <v>264</v>
      </c>
    </row>
    <row r="14" spans="2:4" ht="15">
      <c r="B14" s="177" t="s">
        <v>265</v>
      </c>
      <c r="C14" s="97" t="s">
        <v>255</v>
      </c>
      <c r="D14" s="97" t="s">
        <v>256</v>
      </c>
    </row>
    <row r="15" ht="15">
      <c r="A15" s="134" t="s">
        <v>266</v>
      </c>
    </row>
    <row r="16" spans="2:4" ht="27.75">
      <c r="B16" s="177" t="s">
        <v>267</v>
      </c>
      <c r="C16" s="97" t="s">
        <v>255</v>
      </c>
      <c r="D16" s="97" t="s">
        <v>256</v>
      </c>
    </row>
    <row r="17" spans="2:5" ht="15">
      <c r="B17" s="177" t="s">
        <v>268</v>
      </c>
      <c r="C17" s="97" t="s">
        <v>255</v>
      </c>
      <c r="D17" s="97" t="s">
        <v>256</v>
      </c>
      <c r="E17" s="195"/>
    </row>
    <row r="18" ht="15">
      <c r="E18" s="195"/>
    </row>
    <row r="19" spans="2:3" ht="15">
      <c r="B19" s="196" t="s">
        <v>252</v>
      </c>
      <c r="C19" s="197">
        <f>SUM(C5:C17)</f>
        <v>0</v>
      </c>
    </row>
    <row r="21" spans="1:4" ht="21.75" customHeight="1">
      <c r="A21" s="194" t="s">
        <v>269</v>
      </c>
      <c r="B21" s="194"/>
      <c r="C21" s="194"/>
      <c r="D21" s="194"/>
    </row>
    <row r="22" ht="15">
      <c r="A22" s="134" t="s">
        <v>270</v>
      </c>
    </row>
    <row r="23" spans="2:4" ht="15">
      <c r="B23" s="177" t="s">
        <v>271</v>
      </c>
      <c r="C23" s="97" t="s">
        <v>255</v>
      </c>
      <c r="D23" s="97" t="s">
        <v>272</v>
      </c>
    </row>
    <row r="24" spans="2:4" ht="15">
      <c r="B24" s="177" t="s">
        <v>273</v>
      </c>
      <c r="C24" s="97" t="s">
        <v>255</v>
      </c>
      <c r="D24" s="97" t="s">
        <v>272</v>
      </c>
    </row>
    <row r="25" ht="15">
      <c r="A25" s="134" t="s">
        <v>274</v>
      </c>
    </row>
    <row r="26" spans="2:4" ht="41.25">
      <c r="B26" s="177" t="s">
        <v>275</v>
      </c>
      <c r="C26" s="97" t="s">
        <v>255</v>
      </c>
      <c r="D26" s="97" t="s">
        <v>272</v>
      </c>
    </row>
    <row r="27" spans="2:4" ht="27.75">
      <c r="B27" s="177" t="s">
        <v>276</v>
      </c>
      <c r="C27" s="97" t="s">
        <v>255</v>
      </c>
      <c r="D27" s="97" t="s">
        <v>272</v>
      </c>
    </row>
    <row r="28" ht="15">
      <c r="C28" s="198"/>
    </row>
    <row r="29" spans="2:3" ht="15">
      <c r="B29" s="196" t="s">
        <v>269</v>
      </c>
      <c r="C29" s="197">
        <f>SUM(C23:C27)</f>
        <v>0</v>
      </c>
    </row>
  </sheetData>
  <mergeCells count="2">
    <mergeCell ref="A3:D3"/>
    <mergeCell ref="A21:D21"/>
  </mergeCells>
  <printOptions/>
  <pageMargins left="0.7479166666666667" right="0.7479166666666667" top="0.9840277777777777" bottom="0.9840277777777777" header="0.5" footer="0.5"/>
  <pageSetup horizontalDpi="300" verticalDpi="300" orientation="portrait"/>
  <headerFooter alignWithMargins="0">
    <oddHeader>&amp;L&amp;"Arial,Bold"&amp;12Program Costs&amp;R&amp;"Arial,Bold"&amp;12OLPC Deployment Workbook</oddHeader>
    <oddFooter>&amp;C&amp;"Arial,Italic"page &amp;P of &amp;N&amp;R&amp;"Arial,Italic"&amp;D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239"/>
  <sheetViews>
    <sheetView workbookViewId="0" topLeftCell="A1">
      <selection activeCell="B14" activeCellId="1" sqref="A2:IV2 B14"/>
    </sheetView>
  </sheetViews>
  <sheetFormatPr defaultColWidth="11.00390625" defaultRowHeight="12.75"/>
  <cols>
    <col min="1" max="1" width="31.25390625" style="5" customWidth="1"/>
    <col min="2" max="2" width="10.75390625" style="5" customWidth="1"/>
    <col min="3" max="3" width="7.125" style="5" customWidth="1"/>
    <col min="4" max="16384" width="10.75390625" style="5" customWidth="1"/>
  </cols>
  <sheetData>
    <row r="1" spans="1:5" ht="64.5" customHeight="1">
      <c r="A1" s="129" t="s">
        <v>277</v>
      </c>
      <c r="B1" s="129"/>
      <c r="C1" s="129"/>
      <c r="D1" s="129"/>
      <c r="E1" s="129"/>
    </row>
    <row r="2" spans="1:5" ht="39.75" customHeight="1">
      <c r="A2" s="129" t="s">
        <v>278</v>
      </c>
      <c r="B2" s="129"/>
      <c r="C2" s="129"/>
      <c r="D2" s="129"/>
      <c r="E2" s="129"/>
    </row>
    <row r="3" spans="1:5" ht="45.75" customHeight="1">
      <c r="A3" s="129" t="s">
        <v>279</v>
      </c>
      <c r="B3" s="129"/>
      <c r="C3" s="129"/>
      <c r="D3" s="129"/>
      <c r="E3" s="129"/>
    </row>
    <row r="4" spans="1:5" s="1" customFormat="1" ht="27" customHeight="1">
      <c r="A4" s="199" t="s">
        <v>280</v>
      </c>
      <c r="B4" s="199"/>
      <c r="C4" s="199"/>
      <c r="D4" s="199"/>
      <c r="E4" s="199"/>
    </row>
    <row r="5" spans="1:3" s="1" customFormat="1" ht="15">
      <c r="A5" s="92" t="s">
        <v>68</v>
      </c>
      <c r="B5" s="172">
        <v>30</v>
      </c>
      <c r="C5" s="1" t="s">
        <v>69</v>
      </c>
    </row>
    <row r="6" spans="1:3" s="1" customFormat="1" ht="15">
      <c r="A6" s="92"/>
      <c r="B6" s="97"/>
      <c r="C6" s="37"/>
    </row>
    <row r="7" spans="1:7" s="1" customFormat="1" ht="16.5" customHeight="1">
      <c r="A7" s="98" t="s">
        <v>281</v>
      </c>
      <c r="B7" s="98"/>
      <c r="C7" s="98"/>
      <c r="D7" s="98"/>
      <c r="E7" s="98"/>
      <c r="F7" s="5"/>
      <c r="G7" s="5"/>
    </row>
    <row r="8" spans="1:7" s="1" customFormat="1" ht="15">
      <c r="A8" s="5"/>
      <c r="B8" s="5"/>
      <c r="C8" s="5"/>
      <c r="D8" s="5"/>
      <c r="E8" s="5"/>
      <c r="F8" s="5"/>
      <c r="G8" s="5"/>
    </row>
    <row r="9" spans="1:4" s="1" customFormat="1" ht="15">
      <c r="A9" s="80" t="s">
        <v>79</v>
      </c>
      <c r="B9" s="100">
        <f>IF(B5&lt;301,1,IF(B5&lt;2001,1,2))</f>
        <v>1</v>
      </c>
      <c r="C9" s="79" t="str">
        <f>IF(B5&lt;300,"small server","large server")</f>
        <v>small server</v>
      </c>
      <c r="D9" s="79"/>
    </row>
    <row r="10" spans="1:4" s="1" customFormat="1" ht="15">
      <c r="A10" s="80" t="s">
        <v>80</v>
      </c>
      <c r="B10" s="100">
        <f>IF(B5&lt;300,CEILING(B5/50,1),IF(B5&lt;1200,CEILING(B5/75,1),CEILING(B5/100,1)))</f>
        <v>1</v>
      </c>
      <c r="C10" s="79"/>
      <c r="D10" s="79"/>
    </row>
    <row r="11" spans="1:4" s="1" customFormat="1" ht="15">
      <c r="A11" s="80" t="s">
        <v>282</v>
      </c>
      <c r="B11" s="100">
        <f>IF(B10=1,0,CEILING(B10/4,1))</f>
        <v>0</v>
      </c>
      <c r="C11" s="79"/>
      <c r="D11" s="79"/>
    </row>
    <row r="12" s="1" customFormat="1" ht="15"/>
    <row r="13" spans="1:12" s="18" customFormat="1" ht="19.5">
      <c r="A13" s="101" t="s">
        <v>82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5" s="1" customFormat="1" ht="15">
      <c r="A14" s="92" t="s">
        <v>83</v>
      </c>
      <c r="B14" s="106">
        <f>W_laptop*Example_laptop_usage*B5/(1000*Example_Sunlight_Hours)</f>
        <v>0.3</v>
      </c>
      <c r="C14" s="1" t="s">
        <v>84</v>
      </c>
      <c r="D14" s="107">
        <f>B14*Example_Sunlight_Hours</f>
        <v>1.2</v>
      </c>
      <c r="E14" s="97" t="s">
        <v>85</v>
      </c>
    </row>
    <row r="15" spans="1:5" s="1" customFormat="1" ht="15">
      <c r="A15" s="92" t="s">
        <v>86</v>
      </c>
      <c r="B15" s="106">
        <f>IF(EXACT(C9,"small server"),W_small_server,W_large_server)*B9/1000</f>
        <v>0.022</v>
      </c>
      <c r="C15" s="1" t="s">
        <v>84</v>
      </c>
      <c r="D15" s="107">
        <f>B15*Example_infra_usage</f>
        <v>0.088</v>
      </c>
      <c r="E15" s="97" t="s">
        <v>85</v>
      </c>
    </row>
    <row r="16" spans="1:5" s="1" customFormat="1" ht="15">
      <c r="A16" s="92" t="s">
        <v>87</v>
      </c>
      <c r="B16" s="106">
        <f>((B11*W_SW)+(B10*W_AP)+(Example_DSL*W_DSL+Example_VSAT*W_VSAT+Example_GSM*W_GSM+Example_Other*W_Other))/1000</f>
        <v>0.016</v>
      </c>
      <c r="C16" s="1" t="s">
        <v>84</v>
      </c>
      <c r="D16" s="107">
        <f>B16*Example_infra_usage</f>
        <v>0.064</v>
      </c>
      <c r="E16" s="97" t="s">
        <v>85</v>
      </c>
    </row>
    <row r="17" spans="1:5" s="1" customFormat="1" ht="15" customHeight="1">
      <c r="A17" s="97"/>
      <c r="B17" s="97"/>
      <c r="C17" s="97"/>
      <c r="D17" s="97"/>
      <c r="E17" s="97"/>
    </row>
    <row r="18" spans="1:11" s="18" customFormat="1" ht="27" customHeight="1">
      <c r="A18" s="200" t="s">
        <v>283</v>
      </c>
      <c r="B18" s="109">
        <f>SUM(B14:B16)</f>
        <v>0.33799999999999997</v>
      </c>
      <c r="C18" s="72" t="s">
        <v>89</v>
      </c>
      <c r="D18" s="72"/>
      <c r="I18" s="1"/>
      <c r="J18" s="1"/>
      <c r="K18" s="1"/>
    </row>
    <row r="19" spans="1:11" s="18" customFormat="1" ht="27" customHeight="1">
      <c r="A19" s="200" t="s">
        <v>90</v>
      </c>
      <c r="B19" s="109">
        <f>SUM(D14:D16)</f>
        <v>1.3519999999999999</v>
      </c>
      <c r="C19" s="72" t="s">
        <v>91</v>
      </c>
      <c r="D19" s="72"/>
      <c r="I19" s="1"/>
      <c r="J19" s="1"/>
      <c r="K19" s="1"/>
    </row>
    <row r="20" spans="1:11" s="18" customFormat="1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2" s="18" customFormat="1" ht="19.5">
      <c r="A21" s="101" t="s">
        <v>92</v>
      </c>
      <c r="B21" s="1"/>
      <c r="C21" s="1"/>
      <c r="D21" s="1"/>
      <c r="E21" s="1"/>
      <c r="J21" s="1"/>
      <c r="K21" s="1"/>
      <c r="L21" s="1"/>
    </row>
    <row r="22" spans="1:12" s="18" customFormat="1" ht="15">
      <c r="A22" s="80" t="s">
        <v>93</v>
      </c>
      <c r="B22" s="80" t="str">
        <f>IF(EXACT(C9,"small server"),"1","&gt; 2")</f>
        <v>1</v>
      </c>
      <c r="C22" s="79" t="s">
        <v>94</v>
      </c>
      <c r="D22" s="79"/>
      <c r="E22" s="1"/>
      <c r="J22" s="1"/>
      <c r="K22" s="1"/>
      <c r="L22" s="1"/>
    </row>
    <row r="23" spans="1:11" s="18" customFormat="1" ht="15">
      <c r="A23" s="80" t="s">
        <v>95</v>
      </c>
      <c r="B23" s="80" t="str">
        <f>IF(EXACT(C9,"small server"),"1",CEILING(B5*XS_Mem_per_laptop/B9,1))</f>
        <v>1</v>
      </c>
      <c r="C23" s="110" t="s">
        <v>284</v>
      </c>
      <c r="D23" s="79"/>
      <c r="E23" s="1"/>
      <c r="F23" s="1"/>
      <c r="G23" s="1"/>
      <c r="H23" s="1"/>
      <c r="I23" s="1"/>
      <c r="J23" s="1"/>
      <c r="K23" s="1"/>
    </row>
    <row r="24" spans="1:11" s="18" customFormat="1" ht="15" customHeight="1">
      <c r="A24" s="80" t="s">
        <v>97</v>
      </c>
      <c r="B24" s="111">
        <f>CEILING(B5*Backup_Storage_per_laptop/B9+XS_Disk_space,512)</f>
        <v>512</v>
      </c>
      <c r="C24" s="110" t="s">
        <v>284</v>
      </c>
      <c r="D24" s="112"/>
      <c r="E24" s="5"/>
      <c r="F24" s="5"/>
      <c r="G24" s="5"/>
      <c r="H24" s="1"/>
      <c r="I24" s="1"/>
      <c r="J24" s="1"/>
      <c r="K24" s="1"/>
    </row>
    <row r="25" spans="1:11" s="18" customFormat="1" ht="15">
      <c r="A25" s="1"/>
      <c r="B25" s="1"/>
      <c r="C25" s="1"/>
      <c r="D25" s="5"/>
      <c r="E25" s="5"/>
      <c r="F25" s="5"/>
      <c r="G25" s="5"/>
      <c r="H25" s="1"/>
      <c r="I25" s="1"/>
      <c r="J25" s="1"/>
      <c r="K25" s="1"/>
    </row>
    <row r="26" spans="1:7" s="18" customFormat="1" ht="19.5" customHeight="1">
      <c r="A26" s="113" t="s">
        <v>285</v>
      </c>
      <c r="B26" s="113"/>
      <c r="C26" s="113"/>
      <c r="D26" s="113"/>
      <c r="E26" s="113"/>
      <c r="F26" s="5"/>
      <c r="G26" s="5"/>
    </row>
    <row r="27" s="18" customFormat="1" ht="12.75"/>
    <row r="28" spans="1:4" s="18" customFormat="1" ht="19.5" customHeight="1">
      <c r="A28" s="114" t="s">
        <v>99</v>
      </c>
      <c r="B28" s="115" t="s">
        <v>100</v>
      </c>
      <c r="C28" s="116" t="s">
        <v>101</v>
      </c>
      <c r="D28" s="115" t="s">
        <v>44</v>
      </c>
    </row>
    <row r="29" spans="1:4" s="18" customFormat="1" ht="15">
      <c r="A29" s="97" t="s">
        <v>83</v>
      </c>
      <c r="B29" s="117">
        <f>Laptop_Cost</f>
        <v>209</v>
      </c>
      <c r="C29" s="97">
        <f>B5</f>
        <v>30</v>
      </c>
      <c r="D29" s="37">
        <f aca="true" t="shared" si="0" ref="D29:D35">C29*B29</f>
        <v>6270</v>
      </c>
    </row>
    <row r="30" spans="1:4" s="18" customFormat="1" ht="15">
      <c r="A30" s="97" t="s">
        <v>102</v>
      </c>
      <c r="B30" s="118">
        <f>IF(EXACT(C9,"small server"),Small_Server_Cost,Large_Server_Cost)</f>
        <v>800</v>
      </c>
      <c r="C30" s="97">
        <f>B9</f>
        <v>1</v>
      </c>
      <c r="D30" s="37">
        <f t="shared" si="0"/>
        <v>800</v>
      </c>
    </row>
    <row r="31" spans="1:4" s="18" customFormat="1" ht="15">
      <c r="A31" s="97" t="s">
        <v>103</v>
      </c>
      <c r="B31" s="118">
        <f>Disk_Cost</f>
        <v>200</v>
      </c>
      <c r="C31" s="171">
        <f>CEILING(B29/Disk_size,1)*B9</f>
        <v>1</v>
      </c>
      <c r="D31" s="37">
        <f t="shared" si="0"/>
        <v>200</v>
      </c>
    </row>
    <row r="32" spans="1:4" s="18" customFormat="1" ht="15">
      <c r="A32" s="97" t="s">
        <v>104</v>
      </c>
      <c r="B32" s="117">
        <f>AP_Cost</f>
        <v>120</v>
      </c>
      <c r="C32" s="97">
        <f>B10</f>
        <v>1</v>
      </c>
      <c r="D32" s="37">
        <f t="shared" si="0"/>
        <v>120</v>
      </c>
    </row>
    <row r="33" spans="1:4" s="18" customFormat="1" ht="15">
      <c r="A33" s="97" t="s">
        <v>105</v>
      </c>
      <c r="B33" s="117">
        <f>SW_Cost</f>
        <v>120</v>
      </c>
      <c r="C33" s="97">
        <f>B11</f>
        <v>0</v>
      </c>
      <c r="D33" s="37">
        <f t="shared" si="0"/>
        <v>0</v>
      </c>
    </row>
    <row r="34" spans="1:4" s="18" customFormat="1" ht="15">
      <c r="A34" s="97" t="s">
        <v>106</v>
      </c>
      <c r="B34" s="117">
        <f>Cat5_Cost</f>
        <v>10</v>
      </c>
      <c r="C34" s="97">
        <f>C32+C33</f>
        <v>1</v>
      </c>
      <c r="D34" s="37">
        <f t="shared" si="0"/>
        <v>10</v>
      </c>
    </row>
    <row r="35" spans="1:4" s="18" customFormat="1" ht="15">
      <c r="A35" s="97" t="s">
        <v>108</v>
      </c>
      <c r="B35" s="117">
        <f>Power_Strip_Cost</f>
        <v>10</v>
      </c>
      <c r="C35" s="97">
        <f>CEILING(B5/Students_per_strip,1)+IF(B5&gt;Students_per_strip,CEILING(B5/POWER(Students_per_strip,2),1),0)+IF(B5&gt;POWER(Students_per_strip,2),CEILING(B5/POWER(Students_per_strip,3),1),0)+IF(B5&gt;POWER(Students_per_strip,3),CEILING(B5/POWER(Students_per_strip,4),1),0)+C33+B9</f>
        <v>10</v>
      </c>
      <c r="D35" s="37">
        <f t="shared" si="0"/>
        <v>100</v>
      </c>
    </row>
    <row r="36" spans="1:4" s="123" customFormat="1" ht="18" customHeight="1">
      <c r="A36" s="119"/>
      <c r="B36" s="120"/>
      <c r="C36" s="121" t="s">
        <v>109</v>
      </c>
      <c r="D36" s="122">
        <f>SUM(D29:D35)</f>
        <v>7500</v>
      </c>
    </row>
    <row r="37" spans="1:4" s="123" customFormat="1" ht="18" customHeight="1">
      <c r="A37" s="125"/>
      <c r="B37" s="125"/>
      <c r="C37" s="121" t="s">
        <v>110</v>
      </c>
      <c r="D37" s="120">
        <f>D36/B5</f>
        <v>250</v>
      </c>
    </row>
    <row r="38" spans="1:4" s="123" customFormat="1" ht="18" customHeight="1">
      <c r="A38" s="125"/>
      <c r="B38" s="125"/>
      <c r="C38" s="121" t="s">
        <v>111</v>
      </c>
      <c r="D38" s="126">
        <f>SUM(D30:D34)/B5</f>
        <v>37.666666666666664</v>
      </c>
    </row>
    <row r="39" spans="1:4" s="123" customFormat="1" ht="18" customHeight="1">
      <c r="A39" s="125"/>
      <c r="B39" s="125"/>
      <c r="C39" s="121" t="s">
        <v>112</v>
      </c>
      <c r="D39" s="126">
        <f>D35/B5</f>
        <v>3.3333333333333335</v>
      </c>
    </row>
    <row r="40" spans="1:4" s="18" customFormat="1" ht="18" customHeight="1">
      <c r="A40" s="125"/>
      <c r="B40" s="125"/>
      <c r="C40" s="121" t="s">
        <v>286</v>
      </c>
      <c r="D40" s="201">
        <f>B19*KWH_Cost*School_Days_in_Month/B5</f>
        <v>0.10815999999999998</v>
      </c>
    </row>
    <row r="41" s="18" customFormat="1" ht="12.75"/>
    <row r="42" s="18" customFormat="1" ht="12.75"/>
    <row r="43" spans="1:4" s="18" customFormat="1" ht="21" customHeight="1">
      <c r="A43" s="114" t="s">
        <v>119</v>
      </c>
      <c r="B43" s="115" t="s">
        <v>100</v>
      </c>
      <c r="C43" s="116" t="s">
        <v>101</v>
      </c>
      <c r="D43" s="115" t="s">
        <v>44</v>
      </c>
    </row>
    <row r="44" spans="1:4" s="18" customFormat="1" ht="15">
      <c r="A44" s="97" t="s">
        <v>83</v>
      </c>
      <c r="B44" s="117">
        <f>Laptop_Cost</f>
        <v>209</v>
      </c>
      <c r="C44" s="97">
        <f>B5</f>
        <v>30</v>
      </c>
      <c r="D44" s="37">
        <f aca="true" t="shared" si="1" ref="D44:D55">C44*B44</f>
        <v>6270</v>
      </c>
    </row>
    <row r="45" spans="1:4" s="18" customFormat="1" ht="15">
      <c r="A45" s="97" t="s">
        <v>102</v>
      </c>
      <c r="B45" s="118">
        <f>IF(EXACT(C9,"small server"),Small_Server_Cost,Large_Server_Cost)</f>
        <v>800</v>
      </c>
      <c r="C45" s="97">
        <f>B9</f>
        <v>1</v>
      </c>
      <c r="D45" s="37">
        <f t="shared" si="1"/>
        <v>800</v>
      </c>
    </row>
    <row r="46" spans="1:4" s="18" customFormat="1" ht="15">
      <c r="A46" s="97" t="s">
        <v>103</v>
      </c>
      <c r="B46" s="118">
        <f>Disk_Cost</f>
        <v>200</v>
      </c>
      <c r="C46" s="171">
        <f>CEILING(B24/Disk_size,1)*B9</f>
        <v>1</v>
      </c>
      <c r="D46" s="37">
        <f t="shared" si="1"/>
        <v>200</v>
      </c>
    </row>
    <row r="47" spans="1:4" s="18" customFormat="1" ht="15">
      <c r="A47" s="97" t="s">
        <v>104</v>
      </c>
      <c r="B47" s="117">
        <f>AP_Cost</f>
        <v>120</v>
      </c>
      <c r="C47" s="97">
        <f>B10</f>
        <v>1</v>
      </c>
      <c r="D47" s="37">
        <f t="shared" si="1"/>
        <v>120</v>
      </c>
    </row>
    <row r="48" spans="1:4" s="18" customFormat="1" ht="15">
      <c r="A48" s="97" t="s">
        <v>105</v>
      </c>
      <c r="B48" s="117">
        <f>SW_Cost</f>
        <v>120</v>
      </c>
      <c r="C48" s="97">
        <f>B11</f>
        <v>0</v>
      </c>
      <c r="D48" s="37">
        <f t="shared" si="1"/>
        <v>0</v>
      </c>
    </row>
    <row r="49" spans="1:4" s="18" customFormat="1" ht="15">
      <c r="A49" s="97" t="s">
        <v>106</v>
      </c>
      <c r="B49" s="117">
        <f>Cat5_Cost</f>
        <v>10</v>
      </c>
      <c r="C49" s="97">
        <f>C47+C48</f>
        <v>1</v>
      </c>
      <c r="D49" s="37">
        <f t="shared" si="1"/>
        <v>10</v>
      </c>
    </row>
    <row r="50" spans="1:4" s="97" customFormat="1" ht="15">
      <c r="A50" s="97" t="s">
        <v>120</v>
      </c>
      <c r="B50" s="117">
        <f>Large_Solar_Panel_Cost</f>
        <v>5000</v>
      </c>
      <c r="C50" s="97">
        <f>CEILING(B19/(Example_Sunlight_Hours*Charge_Controller_Efficiency),0.2)</f>
        <v>0.4</v>
      </c>
      <c r="D50" s="37">
        <f t="shared" si="1"/>
        <v>2000</v>
      </c>
    </row>
    <row r="51" spans="1:4" s="97" customFormat="1" ht="15">
      <c r="A51" s="97" t="s">
        <v>121</v>
      </c>
      <c r="B51" s="117">
        <f>Inverter_Cost</f>
        <v>2000</v>
      </c>
      <c r="C51" s="97">
        <f>CEILING(B19/(2*Example_Sunlight_Hours),1)</f>
        <v>1</v>
      </c>
      <c r="D51" s="37">
        <f t="shared" si="1"/>
        <v>2000</v>
      </c>
    </row>
    <row r="52" spans="1:4" s="97" customFormat="1" ht="15">
      <c r="A52" s="97" t="s">
        <v>122</v>
      </c>
      <c r="B52" s="117">
        <f>Large_Battery_Cost</f>
        <v>1500</v>
      </c>
      <c r="C52" s="97">
        <f>CEILING(D15+D16+(D14*Example_power_storage),0.5)</f>
        <v>0.5</v>
      </c>
      <c r="D52" s="37">
        <f t="shared" si="1"/>
        <v>750</v>
      </c>
    </row>
    <row r="53" spans="1:4" s="97" customFormat="1" ht="15">
      <c r="A53" s="97" t="s">
        <v>123</v>
      </c>
      <c r="B53" s="117">
        <f>Charge_Controller_Cost</f>
        <v>500</v>
      </c>
      <c r="C53" s="97">
        <f>CEILING(C50/1.4,1)</f>
        <v>1</v>
      </c>
      <c r="D53" s="37">
        <f t="shared" si="1"/>
        <v>500</v>
      </c>
    </row>
    <row r="54" spans="1:4" s="97" customFormat="1" ht="15">
      <c r="A54" s="97" t="s">
        <v>287</v>
      </c>
      <c r="B54" s="117">
        <f>Outlet_Cost</f>
        <v>40</v>
      </c>
      <c r="C54" s="97">
        <f>CEILING(B5/Students_per_outlet,1)</f>
        <v>1</v>
      </c>
      <c r="D54" s="37">
        <f t="shared" si="1"/>
        <v>40</v>
      </c>
    </row>
    <row r="55" spans="1:4" s="18" customFormat="1" ht="15">
      <c r="A55" s="97" t="s">
        <v>108</v>
      </c>
      <c r="B55" s="117">
        <f>Power_Strip_Cost</f>
        <v>10</v>
      </c>
      <c r="C55" s="97">
        <f>CEILING(B5/Students_per_strip,1)+IF(B5&gt;Students_per_strip,CEILING(B5/POWER(Students_per_strip,2),1),0)+IF(B5&gt;POWER(Students_per_strip,2),CEILING(B5/POWER(Students_per_strip,3),1),0)+IF(B5&gt;POWER(Students_per_strip,3),CEILING(B5/POWER(Students_per_strip,4),1),0)+C48+B9</f>
        <v>10</v>
      </c>
      <c r="D55" s="37">
        <f t="shared" si="1"/>
        <v>100</v>
      </c>
    </row>
    <row r="56" spans="1:4" s="123" customFormat="1" ht="18" customHeight="1">
      <c r="A56" s="119"/>
      <c r="B56" s="120"/>
      <c r="C56" s="121" t="s">
        <v>109</v>
      </c>
      <c r="D56" s="122">
        <f>SUM(D44:D55)</f>
        <v>12790</v>
      </c>
    </row>
    <row r="57" spans="1:4" s="123" customFormat="1" ht="18" customHeight="1">
      <c r="A57" s="125"/>
      <c r="B57" s="125"/>
      <c r="C57" s="121" t="s">
        <v>110</v>
      </c>
      <c r="D57" s="120">
        <f>D56/B5</f>
        <v>426.3333333333333</v>
      </c>
    </row>
    <row r="58" spans="1:4" s="123" customFormat="1" ht="18" customHeight="1">
      <c r="A58" s="125"/>
      <c r="B58" s="125"/>
      <c r="C58" s="121" t="s">
        <v>112</v>
      </c>
      <c r="D58" s="126">
        <f>SUM(D50:D55)/B5</f>
        <v>179.66666666666666</v>
      </c>
    </row>
    <row r="59" spans="1:4" s="18" customFormat="1" ht="18" customHeight="1">
      <c r="A59" s="125"/>
      <c r="B59" s="125"/>
      <c r="C59" s="121" t="s">
        <v>288</v>
      </c>
      <c r="D59" s="120">
        <v>0</v>
      </c>
    </row>
    <row r="60" s="18" customFormat="1" ht="12.75"/>
    <row r="61" s="18" customFormat="1" ht="12.75"/>
    <row r="62" spans="1:4" s="18" customFormat="1" ht="21" customHeight="1">
      <c r="A62" s="114" t="s">
        <v>127</v>
      </c>
      <c r="B62" s="115" t="s">
        <v>100</v>
      </c>
      <c r="C62" s="116" t="s">
        <v>101</v>
      </c>
      <c r="D62" s="115" t="s">
        <v>44</v>
      </c>
    </row>
    <row r="63" spans="1:4" s="18" customFormat="1" ht="15">
      <c r="A63" s="97" t="s">
        <v>83</v>
      </c>
      <c r="B63" s="117">
        <f>Laptop_Cost</f>
        <v>209</v>
      </c>
      <c r="C63" s="97">
        <f>B5</f>
        <v>30</v>
      </c>
      <c r="D63" s="37">
        <f aca="true" t="shared" si="2" ref="D63:D71">C63*B63</f>
        <v>6270</v>
      </c>
    </row>
    <row r="64" spans="1:4" s="18" customFormat="1" ht="15">
      <c r="A64" s="97" t="s">
        <v>102</v>
      </c>
      <c r="B64" s="118">
        <f>IF(EXACT(C9,"small server"),Small_Server_Cost,Large_Server_Cost)</f>
        <v>800</v>
      </c>
      <c r="C64" s="97">
        <f>B9</f>
        <v>1</v>
      </c>
      <c r="D64" s="37">
        <f t="shared" si="2"/>
        <v>800</v>
      </c>
    </row>
    <row r="65" spans="1:4" s="18" customFormat="1" ht="15">
      <c r="A65" s="97" t="s">
        <v>103</v>
      </c>
      <c r="B65" s="118">
        <f>Disk_Cost</f>
        <v>200</v>
      </c>
      <c r="C65" s="171">
        <f>CEILING(B24/Disk_size,1)*B9</f>
        <v>1</v>
      </c>
      <c r="D65" s="37">
        <f t="shared" si="2"/>
        <v>200</v>
      </c>
    </row>
    <row r="66" spans="1:4" s="18" customFormat="1" ht="15">
      <c r="A66" s="97" t="s">
        <v>104</v>
      </c>
      <c r="B66" s="117">
        <f>AP_Cost</f>
        <v>120</v>
      </c>
      <c r="C66" s="97">
        <f>B10</f>
        <v>1</v>
      </c>
      <c r="D66" s="37">
        <f t="shared" si="2"/>
        <v>120</v>
      </c>
    </row>
    <row r="67" spans="1:4" s="18" customFormat="1" ht="15">
      <c r="A67" s="97" t="s">
        <v>105</v>
      </c>
      <c r="B67" s="117">
        <f>SW_Cost</f>
        <v>120</v>
      </c>
      <c r="C67" s="97">
        <f>B11</f>
        <v>0</v>
      </c>
      <c r="D67" s="37">
        <f t="shared" si="2"/>
        <v>0</v>
      </c>
    </row>
    <row r="68" spans="1:4" s="18" customFormat="1" ht="15">
      <c r="A68" s="97" t="s">
        <v>106</v>
      </c>
      <c r="B68" s="117">
        <f>Cat5_Cost</f>
        <v>10</v>
      </c>
      <c r="C68" s="97">
        <f>C66+C67</f>
        <v>1</v>
      </c>
      <c r="D68" s="37">
        <f t="shared" si="2"/>
        <v>10</v>
      </c>
    </row>
    <row r="69" spans="1:4" s="97" customFormat="1" ht="15">
      <c r="A69" s="97" t="s">
        <v>128</v>
      </c>
      <c r="B69" s="117">
        <f>Generator_Cost</f>
        <v>500</v>
      </c>
      <c r="C69" s="97">
        <f>CEILING(B18/Generator_KW,1)</f>
        <v>1</v>
      </c>
      <c r="D69" s="37">
        <f t="shared" si="2"/>
        <v>500</v>
      </c>
    </row>
    <row r="70" spans="1:4" s="97" customFormat="1" ht="15">
      <c r="A70" s="97" t="s">
        <v>129</v>
      </c>
      <c r="B70" s="117">
        <f>Outlet_Cost</f>
        <v>40</v>
      </c>
      <c r="C70" s="97">
        <f>CEILING(B5/Students_per_outlet,1)</f>
        <v>1</v>
      </c>
      <c r="D70" s="37">
        <f t="shared" si="2"/>
        <v>40</v>
      </c>
    </row>
    <row r="71" spans="1:4" s="18" customFormat="1" ht="15">
      <c r="A71" s="97" t="s">
        <v>108</v>
      </c>
      <c r="B71" s="117">
        <f>Power_Strip_Cost</f>
        <v>10</v>
      </c>
      <c r="C71" s="97">
        <f>CEILING(B5/Students_per_strip,1)+IF(B5&gt;Students_per_strip,CEILING(B5/POWER(Students_per_strip,2),1),0)+IF(B5&gt;POWER(Students_per_strip,2),CEILING(B5/POWER(Students_per_strip,3),1),0)+IF(B5&gt;POWER(Students_per_strip,3),CEILING(B5/POWER(Students_per_strip,4),1),0)+C67+B9</f>
        <v>10</v>
      </c>
      <c r="D71" s="37">
        <f t="shared" si="2"/>
        <v>100</v>
      </c>
    </row>
    <row r="72" spans="1:4" s="123" customFormat="1" ht="18" customHeight="1">
      <c r="A72" s="119"/>
      <c r="B72" s="120"/>
      <c r="C72" s="121" t="s">
        <v>109</v>
      </c>
      <c r="D72" s="122">
        <f>SUM(D63:D71)</f>
        <v>8040</v>
      </c>
    </row>
    <row r="73" spans="1:4" s="123" customFormat="1" ht="18" customHeight="1">
      <c r="A73" s="125"/>
      <c r="B73" s="125"/>
      <c r="C73" s="121" t="s">
        <v>110</v>
      </c>
      <c r="D73" s="120">
        <f>D72/B5</f>
        <v>268</v>
      </c>
    </row>
    <row r="74" spans="1:4" s="123" customFormat="1" ht="18" customHeight="1">
      <c r="A74" s="125"/>
      <c r="B74" s="125"/>
      <c r="C74" s="121" t="s">
        <v>112</v>
      </c>
      <c r="D74" s="126">
        <f>SUM(D69:D71)/B5</f>
        <v>21.333333333333332</v>
      </c>
    </row>
    <row r="75" spans="1:4" s="18" customFormat="1" ht="18" customHeight="1">
      <c r="A75" s="125"/>
      <c r="B75" s="125"/>
      <c r="C75" s="121" t="s">
        <v>288</v>
      </c>
      <c r="D75" s="201">
        <f>School_Days_in_Month*B19*Generator_KW_Cost/B5</f>
        <v>0.7210666666666667</v>
      </c>
    </row>
    <row r="76" spans="1:4" s="18" customFormat="1" ht="13.5" customHeight="1">
      <c r="A76" s="124"/>
      <c r="B76" s="124"/>
      <c r="C76" s="202"/>
      <c r="D76" s="203"/>
    </row>
    <row r="78" spans="1:4" s="18" customFormat="1" ht="19.5" customHeight="1">
      <c r="A78" s="114" t="s">
        <v>130</v>
      </c>
      <c r="B78" s="115" t="s">
        <v>100</v>
      </c>
      <c r="C78" s="116" t="s">
        <v>101</v>
      </c>
      <c r="D78" s="115" t="s">
        <v>44</v>
      </c>
    </row>
    <row r="79" spans="1:4" s="18" customFormat="1" ht="15">
      <c r="A79" s="97" t="s">
        <v>83</v>
      </c>
      <c r="B79" s="117">
        <f>Laptop_Cost</f>
        <v>209</v>
      </c>
      <c r="C79" s="97">
        <f>B5</f>
        <v>30</v>
      </c>
      <c r="D79" s="37">
        <f aca="true" t="shared" si="3" ref="D79:D87">C79*B79</f>
        <v>6270</v>
      </c>
    </row>
    <row r="80" spans="1:4" s="18" customFormat="1" ht="15">
      <c r="A80" s="97" t="s">
        <v>102</v>
      </c>
      <c r="B80" s="118">
        <f>IF(EXACT($C$20,"small server"),Small_Server_Cost,Large_Server_Cost)</f>
        <v>1200</v>
      </c>
      <c r="C80" s="97">
        <f>B9</f>
        <v>1</v>
      </c>
      <c r="D80" s="37">
        <f t="shared" si="3"/>
        <v>1200</v>
      </c>
    </row>
    <row r="81" spans="1:4" s="18" customFormat="1" ht="15">
      <c r="A81" s="97" t="s">
        <v>103</v>
      </c>
      <c r="B81" s="118">
        <f>Disk_Cost</f>
        <v>200</v>
      </c>
      <c r="C81" s="171">
        <f>CEILING(B24/Disk_size,1)*B9</f>
        <v>1</v>
      </c>
      <c r="D81" s="37">
        <f t="shared" si="3"/>
        <v>200</v>
      </c>
    </row>
    <row r="82" spans="1:4" s="18" customFormat="1" ht="15">
      <c r="A82" s="97" t="s">
        <v>104</v>
      </c>
      <c r="B82" s="117">
        <f>AP_Cost</f>
        <v>120</v>
      </c>
      <c r="C82" s="97">
        <f>B10</f>
        <v>1</v>
      </c>
      <c r="D82" s="37">
        <f t="shared" si="3"/>
        <v>120</v>
      </c>
    </row>
    <row r="83" spans="1:4" s="18" customFormat="1" ht="15">
      <c r="A83" s="97" t="s">
        <v>105</v>
      </c>
      <c r="B83" s="117">
        <f>SW_Cost</f>
        <v>120</v>
      </c>
      <c r="C83" s="92">
        <f>B11</f>
        <v>0</v>
      </c>
      <c r="D83" s="37">
        <f t="shared" si="3"/>
        <v>0</v>
      </c>
    </row>
    <row r="84" spans="1:4" s="18" customFormat="1" ht="15">
      <c r="A84" s="97" t="s">
        <v>106</v>
      </c>
      <c r="B84" s="117">
        <f>Cat5_Cost</f>
        <v>10</v>
      </c>
      <c r="C84" s="97">
        <f>C82+C83</f>
        <v>1</v>
      </c>
      <c r="D84" s="37">
        <f t="shared" si="3"/>
        <v>10</v>
      </c>
    </row>
    <row r="85" spans="1:4" s="18" customFormat="1" ht="15">
      <c r="A85" s="97" t="s">
        <v>131</v>
      </c>
      <c r="B85" s="117">
        <f>Solar_Panel_Cost</f>
        <v>42</v>
      </c>
      <c r="C85" s="97">
        <f>B5</f>
        <v>30</v>
      </c>
      <c r="D85" s="37">
        <f t="shared" si="3"/>
        <v>1260</v>
      </c>
    </row>
    <row r="86" spans="1:6" s="18" customFormat="1" ht="15">
      <c r="A86" s="97" t="s">
        <v>132</v>
      </c>
      <c r="B86" s="117">
        <f>DC_Power_Share_Cost/DC_Power_Share_per_person</f>
        <v>3.75</v>
      </c>
      <c r="C86" s="97">
        <f>B5</f>
        <v>30</v>
      </c>
      <c r="D86" s="37">
        <f t="shared" si="3"/>
        <v>112.5</v>
      </c>
      <c r="F86" s="204"/>
    </row>
    <row r="87" spans="1:4" s="18" customFormat="1" ht="15">
      <c r="A87" s="97" t="s">
        <v>108</v>
      </c>
      <c r="B87" s="117">
        <f>Power_Strip_Cost</f>
        <v>10</v>
      </c>
      <c r="C87" s="97">
        <f>C83+B9</f>
        <v>1</v>
      </c>
      <c r="D87" s="37">
        <f t="shared" si="3"/>
        <v>10</v>
      </c>
    </row>
    <row r="88" spans="1:4" s="18" customFormat="1" ht="18" customHeight="1">
      <c r="A88" s="119"/>
      <c r="B88" s="120"/>
      <c r="C88" s="121" t="s">
        <v>109</v>
      </c>
      <c r="D88" s="122">
        <f>SUM(D79:D87)</f>
        <v>9182.5</v>
      </c>
    </row>
    <row r="89" spans="1:4" s="18" customFormat="1" ht="18" customHeight="1">
      <c r="A89" s="125"/>
      <c r="B89" s="125"/>
      <c r="C89" s="121" t="s">
        <v>110</v>
      </c>
      <c r="D89" s="120">
        <f>D88/B5</f>
        <v>306.0833333333333</v>
      </c>
    </row>
    <row r="90" spans="1:4" s="123" customFormat="1" ht="18" customHeight="1">
      <c r="A90" s="125"/>
      <c r="B90" s="125"/>
      <c r="C90" s="121" t="s">
        <v>111</v>
      </c>
      <c r="D90" s="126">
        <f>SUM(D80:D84)/B5</f>
        <v>51</v>
      </c>
    </row>
    <row r="91" spans="1:4" s="123" customFormat="1" ht="18" customHeight="1">
      <c r="A91" s="125"/>
      <c r="B91" s="125"/>
      <c r="C91" s="121" t="s">
        <v>112</v>
      </c>
      <c r="D91" s="126">
        <f>SUM(D85:D87)/B5</f>
        <v>46.083333333333336</v>
      </c>
    </row>
    <row r="92" spans="1:4" s="18" customFormat="1" ht="18" customHeight="1">
      <c r="A92" s="125"/>
      <c r="B92" s="125"/>
      <c r="C92" s="121" t="s">
        <v>288</v>
      </c>
      <c r="D92" s="120">
        <f>0</f>
        <v>0</v>
      </c>
    </row>
    <row r="94" spans="1:5" s="1" customFormat="1" ht="27" customHeight="1">
      <c r="A94" s="199" t="s">
        <v>289</v>
      </c>
      <c r="B94" s="199"/>
      <c r="C94" s="199"/>
      <c r="D94" s="199"/>
      <c r="E94" s="199"/>
    </row>
    <row r="95" spans="1:3" s="1" customFormat="1" ht="15">
      <c r="A95" s="92" t="s">
        <v>68</v>
      </c>
      <c r="B95" s="172">
        <v>200</v>
      </c>
      <c r="C95" s="1" t="s">
        <v>69</v>
      </c>
    </row>
    <row r="96" spans="1:3" s="1" customFormat="1" ht="15">
      <c r="A96" s="92"/>
      <c r="B96" s="97"/>
      <c r="C96" s="37"/>
    </row>
    <row r="97" spans="1:7" s="1" customFormat="1" ht="16.5" customHeight="1">
      <c r="A97" s="205" t="s">
        <v>290</v>
      </c>
      <c r="B97" s="205"/>
      <c r="C97" s="205"/>
      <c r="D97" s="205"/>
      <c r="E97" s="205"/>
      <c r="F97" s="5"/>
      <c r="G97" s="5"/>
    </row>
    <row r="98" spans="1:7" s="1" customFormat="1" ht="15">
      <c r="A98" s="5"/>
      <c r="B98" s="5"/>
      <c r="C98" s="5"/>
      <c r="D98" s="5"/>
      <c r="E98" s="5"/>
      <c r="F98" s="5"/>
      <c r="G98" s="5"/>
    </row>
    <row r="99" spans="1:4" s="1" customFormat="1" ht="15">
      <c r="A99" s="80" t="s">
        <v>79</v>
      </c>
      <c r="B99" s="100">
        <f>IF(B95&lt;301,1,IF(B95&lt;2001,1,2))</f>
        <v>1</v>
      </c>
      <c r="C99" s="79" t="str">
        <f>IF(B95&lt;300,"small server","large server")</f>
        <v>small server</v>
      </c>
      <c r="D99" s="79"/>
    </row>
    <row r="100" spans="1:4" s="1" customFormat="1" ht="15">
      <c r="A100" s="80" t="s">
        <v>80</v>
      </c>
      <c r="B100" s="100">
        <f>IF(B95&lt;300,CEILING(B95/50,1),IF(B95&lt;1200,CEILING(B95/75,1),CEILING(B95/100,1)))</f>
        <v>4</v>
      </c>
      <c r="C100" s="79"/>
      <c r="D100" s="79"/>
    </row>
    <row r="101" spans="1:4" s="1" customFormat="1" ht="15">
      <c r="A101" s="80" t="s">
        <v>282</v>
      </c>
      <c r="B101" s="100">
        <f>IF(B100=1,0,CEILING(B100/4,1))</f>
        <v>1</v>
      </c>
      <c r="C101" s="79"/>
      <c r="D101" s="79"/>
    </row>
    <row r="102" s="1" customFormat="1" ht="15"/>
    <row r="103" spans="1:12" s="18" customFormat="1" ht="19.5">
      <c r="A103" s="101" t="s">
        <v>82</v>
      </c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5" s="1" customFormat="1" ht="15">
      <c r="A104" s="92" t="s">
        <v>83</v>
      </c>
      <c r="B104" s="106">
        <f>W_laptop*Example_laptop_usage*B95/(1000*Example_Sunlight_Hours)</f>
        <v>2</v>
      </c>
      <c r="C104" s="1" t="s">
        <v>84</v>
      </c>
      <c r="D104" s="107">
        <f>B104*Example_Sunlight_Hours</f>
        <v>8</v>
      </c>
      <c r="E104" s="97" t="s">
        <v>85</v>
      </c>
    </row>
    <row r="105" spans="1:5" s="1" customFormat="1" ht="15">
      <c r="A105" s="92" t="s">
        <v>86</v>
      </c>
      <c r="B105" s="106">
        <f>IF(EXACT(C99,"small server"),W_small_server,W_large_server)*B99/1000</f>
        <v>0.022</v>
      </c>
      <c r="C105" s="1" t="s">
        <v>84</v>
      </c>
      <c r="D105" s="107">
        <f>B105*Example_infra_usage</f>
        <v>0.088</v>
      </c>
      <c r="E105" s="97" t="s">
        <v>85</v>
      </c>
    </row>
    <row r="106" spans="1:5" s="1" customFormat="1" ht="15">
      <c r="A106" s="92" t="s">
        <v>87</v>
      </c>
      <c r="B106" s="106">
        <f>((B101*W_SW)+(B100*W_AP)+(Example_DSL*W_DSL+Example_VSAT*W_VSAT+Example_GSM*W_GSM+Example_Other*W_Other))/1000</f>
        <v>0.056</v>
      </c>
      <c r="C106" s="1" t="s">
        <v>84</v>
      </c>
      <c r="D106" s="107">
        <f>B106*Example_infra_usage</f>
        <v>0.224</v>
      </c>
      <c r="E106" s="97" t="s">
        <v>85</v>
      </c>
    </row>
    <row r="107" spans="1:5" s="1" customFormat="1" ht="15" customHeight="1">
      <c r="A107" s="97"/>
      <c r="B107" s="97"/>
      <c r="C107" s="97"/>
      <c r="D107" s="97"/>
      <c r="E107" s="97"/>
    </row>
    <row r="108" spans="1:11" s="18" customFormat="1" ht="31.5" customHeight="1">
      <c r="A108" s="200" t="s">
        <v>88</v>
      </c>
      <c r="B108" s="109">
        <f>SUM(B104:B106)</f>
        <v>2.078</v>
      </c>
      <c r="C108" s="72" t="s">
        <v>89</v>
      </c>
      <c r="D108" s="72"/>
      <c r="I108" s="1"/>
      <c r="J108" s="1"/>
      <c r="K108" s="1"/>
    </row>
    <row r="109" spans="1:11" s="18" customFormat="1" ht="18" customHeight="1">
      <c r="A109" s="200" t="s">
        <v>90</v>
      </c>
      <c r="B109" s="109">
        <f>SUM(D104:D106)</f>
        <v>8.312</v>
      </c>
      <c r="C109" s="72" t="s">
        <v>91</v>
      </c>
      <c r="D109" s="72"/>
      <c r="I109" s="1"/>
      <c r="J109" s="1"/>
      <c r="K109" s="1"/>
    </row>
    <row r="110" spans="1:11" s="18" customFormat="1" ht="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1:12" s="18" customFormat="1" ht="19.5">
      <c r="A111" s="101" t="s">
        <v>92</v>
      </c>
      <c r="B111" s="1"/>
      <c r="C111" s="1"/>
      <c r="D111" s="1"/>
      <c r="E111" s="1"/>
      <c r="J111" s="1"/>
      <c r="K111" s="1"/>
      <c r="L111" s="1"/>
    </row>
    <row r="112" spans="1:12" s="18" customFormat="1" ht="15">
      <c r="A112" s="80" t="s">
        <v>93</v>
      </c>
      <c r="B112" s="80" t="str">
        <f>IF(EXACT(C99,"small server"),"1","&gt; 2")</f>
        <v>1</v>
      </c>
      <c r="C112" s="79" t="s">
        <v>94</v>
      </c>
      <c r="D112" s="79"/>
      <c r="E112" s="1"/>
      <c r="J112" s="1"/>
      <c r="K112" s="1"/>
      <c r="L112" s="1"/>
    </row>
    <row r="113" spans="1:11" s="18" customFormat="1" ht="15">
      <c r="A113" s="80" t="s">
        <v>95</v>
      </c>
      <c r="B113" s="80" t="str">
        <f>IF(EXACT(C99,"small server"),"1",CEILING(B95*XS_Mem_per_laptop/B99,1))</f>
        <v>1</v>
      </c>
      <c r="C113" s="110" t="s">
        <v>284</v>
      </c>
      <c r="D113" s="79"/>
      <c r="E113" s="1"/>
      <c r="F113" s="1"/>
      <c r="G113" s="1"/>
      <c r="H113" s="1"/>
      <c r="I113" s="1"/>
      <c r="J113" s="1"/>
      <c r="K113" s="1"/>
    </row>
    <row r="114" spans="1:11" s="18" customFormat="1" ht="15" customHeight="1">
      <c r="A114" s="80" t="s">
        <v>97</v>
      </c>
      <c r="B114" s="111">
        <f>CEILING(B95*Backup_Storage_per_laptop/B99+XS_Disk_space,512)</f>
        <v>1024</v>
      </c>
      <c r="C114" s="110" t="s">
        <v>284</v>
      </c>
      <c r="D114" s="112"/>
      <c r="E114" s="5"/>
      <c r="F114" s="5"/>
      <c r="G114" s="5"/>
      <c r="H114" s="1"/>
      <c r="I114" s="1"/>
      <c r="J114" s="1"/>
      <c r="K114" s="1"/>
    </row>
    <row r="115" spans="1:11" s="18" customFormat="1" ht="15">
      <c r="A115" s="1"/>
      <c r="B115" s="1"/>
      <c r="C115" s="1"/>
      <c r="D115" s="5"/>
      <c r="E115" s="5"/>
      <c r="F115" s="5"/>
      <c r="G115" s="5"/>
      <c r="H115" s="1"/>
      <c r="I115" s="1"/>
      <c r="J115" s="1"/>
      <c r="K115" s="1"/>
    </row>
    <row r="116" spans="1:7" s="18" customFormat="1" ht="19.5" customHeight="1">
      <c r="A116" s="113" t="s">
        <v>291</v>
      </c>
      <c r="B116" s="113"/>
      <c r="C116" s="113"/>
      <c r="D116" s="113"/>
      <c r="E116" s="113"/>
      <c r="F116" s="5"/>
      <c r="G116" s="5"/>
    </row>
    <row r="117" s="18" customFormat="1" ht="12.75"/>
    <row r="118" spans="1:4" s="18" customFormat="1" ht="19.5" customHeight="1">
      <c r="A118" s="114" t="s">
        <v>99</v>
      </c>
      <c r="B118" s="115" t="s">
        <v>100</v>
      </c>
      <c r="C118" s="116" t="s">
        <v>101</v>
      </c>
      <c r="D118" s="115" t="s">
        <v>44</v>
      </c>
    </row>
    <row r="119" spans="1:4" s="18" customFormat="1" ht="15">
      <c r="A119" s="97" t="s">
        <v>83</v>
      </c>
      <c r="B119" s="117">
        <f>Laptop_Cost</f>
        <v>209</v>
      </c>
      <c r="C119" s="97">
        <f>B95</f>
        <v>200</v>
      </c>
      <c r="D119" s="37">
        <f aca="true" t="shared" si="4" ref="D119:D125">C119*B119</f>
        <v>41800</v>
      </c>
    </row>
    <row r="120" spans="1:4" s="18" customFormat="1" ht="15">
      <c r="A120" s="97" t="s">
        <v>102</v>
      </c>
      <c r="B120" s="118">
        <f>IF(EXACT(C99,"small server"),Small_Server_Cost,Large_Server_Cost)</f>
        <v>800</v>
      </c>
      <c r="C120" s="97">
        <f>B99</f>
        <v>1</v>
      </c>
      <c r="D120" s="37">
        <f t="shared" si="4"/>
        <v>800</v>
      </c>
    </row>
    <row r="121" spans="1:4" s="18" customFormat="1" ht="15">
      <c r="A121" s="97" t="s">
        <v>103</v>
      </c>
      <c r="B121" s="118">
        <f>Disk_Cost</f>
        <v>200</v>
      </c>
      <c r="C121" s="171">
        <f>CEILING(B119/Disk_size,1)*B99</f>
        <v>1</v>
      </c>
      <c r="D121" s="37">
        <f t="shared" si="4"/>
        <v>200</v>
      </c>
    </row>
    <row r="122" spans="1:4" s="18" customFormat="1" ht="15">
      <c r="A122" s="97" t="s">
        <v>104</v>
      </c>
      <c r="B122" s="117">
        <f>AP_Cost</f>
        <v>120</v>
      </c>
      <c r="C122" s="97">
        <f>B100</f>
        <v>4</v>
      </c>
      <c r="D122" s="37">
        <f t="shared" si="4"/>
        <v>480</v>
      </c>
    </row>
    <row r="123" spans="1:4" s="18" customFormat="1" ht="15">
      <c r="A123" s="97" t="s">
        <v>105</v>
      </c>
      <c r="B123" s="117">
        <f>SW_Cost</f>
        <v>120</v>
      </c>
      <c r="C123" s="97">
        <f>B101</f>
        <v>1</v>
      </c>
      <c r="D123" s="37">
        <f t="shared" si="4"/>
        <v>120</v>
      </c>
    </row>
    <row r="124" spans="1:4" s="18" customFormat="1" ht="15">
      <c r="A124" s="97" t="s">
        <v>106</v>
      </c>
      <c r="B124" s="117">
        <f>Cat5_Cost</f>
        <v>10</v>
      </c>
      <c r="C124" s="97">
        <f>C122+C123</f>
        <v>5</v>
      </c>
      <c r="D124" s="37">
        <f t="shared" si="4"/>
        <v>50</v>
      </c>
    </row>
    <row r="125" spans="1:4" s="18" customFormat="1" ht="15">
      <c r="A125" s="97" t="s">
        <v>108</v>
      </c>
      <c r="B125" s="117">
        <f>Power_Strip_Cost</f>
        <v>10</v>
      </c>
      <c r="C125" s="171">
        <f>CEILING(B95/Students_per_strip,1)+IF(B95&gt;Students_per_strip,CEILING(B95/POWER(Students_per_strip,2),1),0)+IF(B95&gt;POWER(Students_per_strip,2),CEILING(B95/POWER(Students_per_strip,3),1),0)+IF(B95&gt;POWER(Students_per_strip,3),CEILING(B95/POWER(Students_per_strip,4),1),0)+C123+B99</f>
        <v>53</v>
      </c>
      <c r="D125" s="37">
        <f t="shared" si="4"/>
        <v>530</v>
      </c>
    </row>
    <row r="126" spans="1:4" s="123" customFormat="1" ht="18" customHeight="1">
      <c r="A126" s="119"/>
      <c r="B126" s="120"/>
      <c r="C126" s="121" t="s">
        <v>109</v>
      </c>
      <c r="D126" s="122">
        <f>SUM(D119:D125)</f>
        <v>43980</v>
      </c>
    </row>
    <row r="127" spans="1:4" s="123" customFormat="1" ht="18" customHeight="1">
      <c r="A127" s="125"/>
      <c r="B127" s="125"/>
      <c r="C127" s="121" t="s">
        <v>110</v>
      </c>
      <c r="D127" s="120">
        <f>D126/B95</f>
        <v>219.9</v>
      </c>
    </row>
    <row r="128" spans="1:4" s="123" customFormat="1" ht="18" customHeight="1">
      <c r="A128" s="125"/>
      <c r="B128" s="125"/>
      <c r="C128" s="121" t="s">
        <v>111</v>
      </c>
      <c r="D128" s="126">
        <f>SUM(D120:D124)/B95</f>
        <v>8.25</v>
      </c>
    </row>
    <row r="129" spans="1:4" s="123" customFormat="1" ht="18" customHeight="1">
      <c r="A129" s="125"/>
      <c r="B129" s="125"/>
      <c r="C129" s="121" t="s">
        <v>112</v>
      </c>
      <c r="D129" s="126">
        <f>D125/B95</f>
        <v>2.65</v>
      </c>
    </row>
    <row r="130" spans="1:4" s="18" customFormat="1" ht="18" customHeight="1">
      <c r="A130" s="125"/>
      <c r="B130" s="125"/>
      <c r="C130" s="121" t="s">
        <v>113</v>
      </c>
      <c r="D130" s="201">
        <f>B109*KWH_Cost*School_Days_in_Month/B95</f>
        <v>0.099744</v>
      </c>
    </row>
    <row r="131" s="18" customFormat="1" ht="12.75"/>
    <row r="132" s="18" customFormat="1" ht="12.75"/>
    <row r="133" spans="1:4" s="18" customFormat="1" ht="21" customHeight="1">
      <c r="A133" s="114" t="s">
        <v>119</v>
      </c>
      <c r="B133" s="115" t="s">
        <v>100</v>
      </c>
      <c r="C133" s="116" t="s">
        <v>101</v>
      </c>
      <c r="D133" s="115" t="s">
        <v>44</v>
      </c>
    </row>
    <row r="134" spans="1:4" s="18" customFormat="1" ht="15">
      <c r="A134" s="97" t="s">
        <v>83</v>
      </c>
      <c r="B134" s="117">
        <f>Laptop_Cost</f>
        <v>209</v>
      </c>
      <c r="C134" s="97">
        <f>B95</f>
        <v>200</v>
      </c>
      <c r="D134" s="37">
        <f aca="true" t="shared" si="5" ref="D134:D145">C134*B134</f>
        <v>41800</v>
      </c>
    </row>
    <row r="135" spans="1:4" s="18" customFormat="1" ht="15">
      <c r="A135" s="97" t="s">
        <v>102</v>
      </c>
      <c r="B135" s="118">
        <f>IF(EXACT(C99,"small server"),Small_Server_Cost,Large_Server_Cost)</f>
        <v>800</v>
      </c>
      <c r="C135" s="97">
        <f>B99</f>
        <v>1</v>
      </c>
      <c r="D135" s="37">
        <f t="shared" si="5"/>
        <v>800</v>
      </c>
    </row>
    <row r="136" spans="1:4" s="18" customFormat="1" ht="15">
      <c r="A136" s="97" t="s">
        <v>103</v>
      </c>
      <c r="B136" s="118">
        <f>Disk_Cost</f>
        <v>200</v>
      </c>
      <c r="C136" s="171">
        <f>CEILING(B114/Disk_size,1)*B99</f>
        <v>1</v>
      </c>
      <c r="D136" s="37">
        <f t="shared" si="5"/>
        <v>200</v>
      </c>
    </row>
    <row r="137" spans="1:4" s="18" customFormat="1" ht="15">
      <c r="A137" s="97" t="s">
        <v>104</v>
      </c>
      <c r="B137" s="117">
        <f>AP_Cost</f>
        <v>120</v>
      </c>
      <c r="C137" s="97">
        <f>B100</f>
        <v>4</v>
      </c>
      <c r="D137" s="37">
        <f t="shared" si="5"/>
        <v>480</v>
      </c>
    </row>
    <row r="138" spans="1:4" s="18" customFormat="1" ht="15">
      <c r="A138" s="97" t="s">
        <v>105</v>
      </c>
      <c r="B138" s="117">
        <f>SW_Cost</f>
        <v>120</v>
      </c>
      <c r="C138" s="97">
        <f>B101</f>
        <v>1</v>
      </c>
      <c r="D138" s="37">
        <f t="shared" si="5"/>
        <v>120</v>
      </c>
    </row>
    <row r="139" spans="1:4" s="18" customFormat="1" ht="15">
      <c r="A139" s="97" t="s">
        <v>106</v>
      </c>
      <c r="B139" s="117">
        <f>Cat5_Cost</f>
        <v>10</v>
      </c>
      <c r="C139" s="97">
        <f>C137+C138</f>
        <v>5</v>
      </c>
      <c r="D139" s="37">
        <f t="shared" si="5"/>
        <v>50</v>
      </c>
    </row>
    <row r="140" spans="1:4" s="97" customFormat="1" ht="15">
      <c r="A140" s="97" t="s">
        <v>120</v>
      </c>
      <c r="B140" s="117">
        <f>Large_Solar_Panel_Cost</f>
        <v>5000</v>
      </c>
      <c r="C140" s="97">
        <f>CEILING(B109/(Example_Sunlight_Hours*Charge_Controller_Efficiency),0.2)</f>
        <v>2.4000000000000004</v>
      </c>
      <c r="D140" s="37">
        <f t="shared" si="5"/>
        <v>12000.000000000002</v>
      </c>
    </row>
    <row r="141" spans="1:4" s="97" customFormat="1" ht="15">
      <c r="A141" s="97" t="s">
        <v>121</v>
      </c>
      <c r="B141" s="117">
        <f>Inverter_Cost</f>
        <v>2000</v>
      </c>
      <c r="C141" s="97">
        <f>CEILING(B109/(2*Example_Sunlight_Hours),1)</f>
        <v>2</v>
      </c>
      <c r="D141" s="37">
        <f t="shared" si="5"/>
        <v>4000</v>
      </c>
    </row>
    <row r="142" spans="1:4" s="97" customFormat="1" ht="15">
      <c r="A142" s="97" t="s">
        <v>122</v>
      </c>
      <c r="B142" s="117">
        <f>Large_Battery_Cost</f>
        <v>1500</v>
      </c>
      <c r="C142" s="97">
        <f>CEILING(D105+D106+(D104*Example_power_storage),0.5)</f>
        <v>0.5</v>
      </c>
      <c r="D142" s="37">
        <f t="shared" si="5"/>
        <v>750</v>
      </c>
    </row>
    <row r="143" spans="1:4" s="97" customFormat="1" ht="15">
      <c r="A143" s="97" t="s">
        <v>123</v>
      </c>
      <c r="B143" s="117">
        <f>Charge_Controller_Cost</f>
        <v>500</v>
      </c>
      <c r="C143" s="97">
        <f>CEILING(C140/1.4,1)</f>
        <v>2</v>
      </c>
      <c r="D143" s="37">
        <f t="shared" si="5"/>
        <v>1000</v>
      </c>
    </row>
    <row r="144" spans="1:4" s="97" customFormat="1" ht="15">
      <c r="A144" s="97" t="s">
        <v>287</v>
      </c>
      <c r="B144" s="117">
        <f>Outlet_Cost</f>
        <v>40</v>
      </c>
      <c r="C144" s="97">
        <f>CEILING(B95/Students_per_outlet,1)</f>
        <v>5</v>
      </c>
      <c r="D144" s="37">
        <f t="shared" si="5"/>
        <v>200</v>
      </c>
    </row>
    <row r="145" spans="1:4" s="18" customFormat="1" ht="15">
      <c r="A145" s="97" t="s">
        <v>108</v>
      </c>
      <c r="B145" s="117">
        <f>Power_Strip_Cost</f>
        <v>10</v>
      </c>
      <c r="C145" s="171">
        <f>CEILING(B95/Students_per_strip,1)+IF(B95&gt;Students_per_strip,CEILING(B95/POWER(Students_per_strip,2),1),0)+IF(B95&gt;POWER(Students_per_strip,2),CEILING(B95/POWER(Students_per_strip,3),1),0)+IF(B95&gt;POWER(Students_per_strip,3),CEILING(B95/POWER(Students_per_strip,4),1),0)+C138+B99</f>
        <v>53</v>
      </c>
      <c r="D145" s="37">
        <f t="shared" si="5"/>
        <v>530</v>
      </c>
    </row>
    <row r="146" spans="1:4" s="123" customFormat="1" ht="18" customHeight="1">
      <c r="A146" s="119"/>
      <c r="B146" s="120"/>
      <c r="C146" s="121" t="s">
        <v>109</v>
      </c>
      <c r="D146" s="122">
        <f>SUM(D134:D145)</f>
        <v>61930</v>
      </c>
    </row>
    <row r="147" spans="1:4" s="123" customFormat="1" ht="18" customHeight="1">
      <c r="A147" s="125"/>
      <c r="B147" s="125"/>
      <c r="C147" s="121" t="s">
        <v>110</v>
      </c>
      <c r="D147" s="120">
        <f>D146/B95</f>
        <v>309.65</v>
      </c>
    </row>
    <row r="148" spans="1:4" s="123" customFormat="1" ht="18" customHeight="1">
      <c r="A148" s="125"/>
      <c r="B148" s="125"/>
      <c r="C148" s="121" t="s">
        <v>112</v>
      </c>
      <c r="D148" s="126">
        <f>SUM(D140:D145)/B95</f>
        <v>92.4</v>
      </c>
    </row>
    <row r="149" spans="1:4" s="18" customFormat="1" ht="18" customHeight="1">
      <c r="A149" s="125"/>
      <c r="B149" s="125"/>
      <c r="C149" s="121" t="s">
        <v>288</v>
      </c>
      <c r="D149" s="120">
        <v>0</v>
      </c>
    </row>
    <row r="150" s="18" customFormat="1" ht="12.75"/>
    <row r="151" s="18" customFormat="1" ht="12.75"/>
    <row r="152" spans="1:4" s="18" customFormat="1" ht="21" customHeight="1">
      <c r="A152" s="114" t="s">
        <v>127</v>
      </c>
      <c r="B152" s="115" t="s">
        <v>100</v>
      </c>
      <c r="C152" s="116" t="s">
        <v>101</v>
      </c>
      <c r="D152" s="115" t="s">
        <v>44</v>
      </c>
    </row>
    <row r="153" spans="1:4" s="18" customFormat="1" ht="15">
      <c r="A153" s="97" t="s">
        <v>83</v>
      </c>
      <c r="B153" s="117">
        <f>Laptop_Cost</f>
        <v>209</v>
      </c>
      <c r="C153" s="97">
        <f>B95</f>
        <v>200</v>
      </c>
      <c r="D153" s="37">
        <f aca="true" t="shared" si="6" ref="D153:D161">C153*B153</f>
        <v>41800</v>
      </c>
    </row>
    <row r="154" spans="1:4" s="18" customFormat="1" ht="15">
      <c r="A154" s="97" t="s">
        <v>102</v>
      </c>
      <c r="B154" s="118">
        <f>IF(EXACT(C99,"small server"),Small_Server_Cost,Large_Server_Cost)</f>
        <v>800</v>
      </c>
      <c r="C154" s="97">
        <f>B99</f>
        <v>1</v>
      </c>
      <c r="D154" s="37">
        <f t="shared" si="6"/>
        <v>800</v>
      </c>
    </row>
    <row r="155" spans="1:4" s="18" customFormat="1" ht="15">
      <c r="A155" s="97" t="s">
        <v>103</v>
      </c>
      <c r="B155" s="118">
        <f>Disk_Cost</f>
        <v>200</v>
      </c>
      <c r="C155" s="171">
        <f>CEILING(B114/Disk_size,1)*B99</f>
        <v>1</v>
      </c>
      <c r="D155" s="37">
        <f t="shared" si="6"/>
        <v>200</v>
      </c>
    </row>
    <row r="156" spans="1:4" s="18" customFormat="1" ht="15">
      <c r="A156" s="97" t="s">
        <v>104</v>
      </c>
      <c r="B156" s="117">
        <f>AP_Cost</f>
        <v>120</v>
      </c>
      <c r="C156" s="97">
        <f>B100</f>
        <v>4</v>
      </c>
      <c r="D156" s="37">
        <f t="shared" si="6"/>
        <v>480</v>
      </c>
    </row>
    <row r="157" spans="1:4" s="18" customFormat="1" ht="15">
      <c r="A157" s="97" t="s">
        <v>105</v>
      </c>
      <c r="B157" s="117">
        <f>SW_Cost</f>
        <v>120</v>
      </c>
      <c r="C157" s="97">
        <f>B101</f>
        <v>1</v>
      </c>
      <c r="D157" s="37">
        <f t="shared" si="6"/>
        <v>120</v>
      </c>
    </row>
    <row r="158" spans="1:4" s="18" customFormat="1" ht="15">
      <c r="A158" s="97" t="s">
        <v>106</v>
      </c>
      <c r="B158" s="117">
        <f>Cat5_Cost</f>
        <v>10</v>
      </c>
      <c r="C158" s="97">
        <f>C156+C157</f>
        <v>5</v>
      </c>
      <c r="D158" s="37">
        <f t="shared" si="6"/>
        <v>50</v>
      </c>
    </row>
    <row r="159" spans="1:4" s="97" customFormat="1" ht="15">
      <c r="A159" s="97" t="s">
        <v>128</v>
      </c>
      <c r="B159" s="117">
        <f>Generator_Cost</f>
        <v>500</v>
      </c>
      <c r="C159" s="97">
        <f>CEILING(B108/Generator_KW,1)</f>
        <v>1</v>
      </c>
      <c r="D159" s="37">
        <f t="shared" si="6"/>
        <v>500</v>
      </c>
    </row>
    <row r="160" spans="1:4" s="97" customFormat="1" ht="15">
      <c r="A160" s="97" t="s">
        <v>129</v>
      </c>
      <c r="B160" s="117">
        <f>Outlet_Cost</f>
        <v>40</v>
      </c>
      <c r="C160" s="97">
        <f>CEILING(B95/Students_per_outlet,1)</f>
        <v>5</v>
      </c>
      <c r="D160" s="37">
        <f t="shared" si="6"/>
        <v>200</v>
      </c>
    </row>
    <row r="161" spans="1:4" s="18" customFormat="1" ht="15">
      <c r="A161" s="97" t="s">
        <v>108</v>
      </c>
      <c r="B161" s="117">
        <f>Power_Strip_Cost</f>
        <v>10</v>
      </c>
      <c r="C161" s="171">
        <f>CEILING(B95/Students_per_strip,1)+IF(B95&gt;Students_per_strip,CEILING(B95/POWER(Students_per_strip,2),1),0)+IF(B95&gt;POWER(Students_per_strip,2),CEILING(B95/POWER(Students_per_strip,3),1),0)+IF(B95&gt;POWER(Students_per_strip,3),CEILING(B95/POWER(Students_per_strip,4),1),0)+C154+C157</f>
        <v>53</v>
      </c>
      <c r="D161" s="37">
        <f t="shared" si="6"/>
        <v>530</v>
      </c>
    </row>
    <row r="162" spans="1:4" s="123" customFormat="1" ht="18" customHeight="1">
      <c r="A162" s="119"/>
      <c r="B162" s="120"/>
      <c r="C162" s="121" t="s">
        <v>109</v>
      </c>
      <c r="D162" s="122">
        <f>SUM(D153:D161)</f>
        <v>44680</v>
      </c>
    </row>
    <row r="163" spans="1:4" s="123" customFormat="1" ht="18" customHeight="1">
      <c r="A163" s="125"/>
      <c r="B163" s="125"/>
      <c r="C163" s="121" t="s">
        <v>110</v>
      </c>
      <c r="D163" s="120">
        <f>D162/B95</f>
        <v>223.4</v>
      </c>
    </row>
    <row r="164" spans="1:4" s="123" customFormat="1" ht="18" customHeight="1">
      <c r="A164" s="125"/>
      <c r="B164" s="125"/>
      <c r="C164" s="121" t="s">
        <v>112</v>
      </c>
      <c r="D164" s="126">
        <f>SUM(D159:D161)/B95</f>
        <v>6.15</v>
      </c>
    </row>
    <row r="165" spans="1:4" s="18" customFormat="1" ht="18" customHeight="1">
      <c r="A165" s="125"/>
      <c r="B165" s="125"/>
      <c r="C165" s="121" t="s">
        <v>288</v>
      </c>
      <c r="D165" s="201">
        <f>School_Days_in_Month*B109*Generator_KW_Cost/B95</f>
        <v>0.66496</v>
      </c>
    </row>
    <row r="168" spans="1:5" s="1" customFormat="1" ht="27" customHeight="1">
      <c r="A168" s="199" t="s">
        <v>292</v>
      </c>
      <c r="B168" s="199"/>
      <c r="C168" s="199"/>
      <c r="D168" s="199"/>
      <c r="E168" s="199"/>
    </row>
    <row r="169" spans="1:3" s="1" customFormat="1" ht="15">
      <c r="A169" s="92" t="s">
        <v>68</v>
      </c>
      <c r="B169" s="172">
        <v>500</v>
      </c>
      <c r="C169" s="1" t="s">
        <v>69</v>
      </c>
    </row>
    <row r="170" spans="1:3" s="1" customFormat="1" ht="15">
      <c r="A170" s="92"/>
      <c r="B170" s="97"/>
      <c r="C170" s="37"/>
    </row>
    <row r="171" spans="1:7" s="1" customFormat="1" ht="16.5" customHeight="1">
      <c r="A171" s="205" t="s">
        <v>293</v>
      </c>
      <c r="B171" s="205"/>
      <c r="C171" s="205"/>
      <c r="D171" s="205"/>
      <c r="E171" s="205"/>
      <c r="F171" s="5"/>
      <c r="G171" s="5"/>
    </row>
    <row r="172" spans="1:7" s="1" customFormat="1" ht="15">
      <c r="A172" s="5"/>
      <c r="B172" s="5"/>
      <c r="C172" s="5"/>
      <c r="D172" s="5"/>
      <c r="E172" s="5"/>
      <c r="F172" s="5"/>
      <c r="G172" s="5"/>
    </row>
    <row r="173" spans="1:4" s="1" customFormat="1" ht="15">
      <c r="A173" s="80" t="s">
        <v>79</v>
      </c>
      <c r="B173" s="100">
        <f>IF(B169&lt;301,1,IF(B169&lt;2001,1,2))</f>
        <v>1</v>
      </c>
      <c r="C173" s="79" t="str">
        <f>IF(B169&lt;300,"small server","large server")</f>
        <v>large server</v>
      </c>
      <c r="D173" s="79"/>
    </row>
    <row r="174" spans="1:4" s="1" customFormat="1" ht="15">
      <c r="A174" s="80" t="s">
        <v>80</v>
      </c>
      <c r="B174" s="100">
        <f>IF(B169&lt;300,CEILING(B169/50,1),IF(B169&lt;1200,CEILING(B169/75,1),CEILING(B169/100,1)))</f>
        <v>7</v>
      </c>
      <c r="C174" s="79"/>
      <c r="D174" s="79"/>
    </row>
    <row r="175" spans="1:4" s="1" customFormat="1" ht="15">
      <c r="A175" s="80" t="s">
        <v>282</v>
      </c>
      <c r="B175" s="100">
        <f>IF(B174=1,0,CEILING(B174/4,1))</f>
        <v>2</v>
      </c>
      <c r="C175" s="79"/>
      <c r="D175" s="79"/>
    </row>
    <row r="176" s="1" customFormat="1" ht="15"/>
    <row r="177" spans="1:12" s="18" customFormat="1" ht="19.5">
      <c r="A177" s="101" t="s">
        <v>82</v>
      </c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1:5" s="1" customFormat="1" ht="15">
      <c r="A178" s="92" t="s">
        <v>83</v>
      </c>
      <c r="B178" s="106">
        <f>W_laptop*Example_laptop_usage*B169/(1000*Example_Sunlight_Hours)</f>
        <v>5</v>
      </c>
      <c r="C178" s="1" t="s">
        <v>84</v>
      </c>
      <c r="D178" s="107">
        <f>B178*Example_Sunlight_Hours</f>
        <v>20</v>
      </c>
      <c r="E178" s="97" t="s">
        <v>85</v>
      </c>
    </row>
    <row r="179" spans="1:5" s="1" customFormat="1" ht="15">
      <c r="A179" s="92" t="s">
        <v>86</v>
      </c>
      <c r="B179" s="106">
        <f>IF(EXACT(C173,"small server"),W_small_server,W_large_server)*B173/1000</f>
        <v>0.12</v>
      </c>
      <c r="C179" s="1" t="s">
        <v>84</v>
      </c>
      <c r="D179" s="107">
        <f>B179*Example_infra_usage</f>
        <v>0.48</v>
      </c>
      <c r="E179" s="97" t="s">
        <v>85</v>
      </c>
    </row>
    <row r="180" spans="1:5" s="1" customFormat="1" ht="15">
      <c r="A180" s="92" t="s">
        <v>87</v>
      </c>
      <c r="B180" s="106">
        <f>((B175*W_SW)+(B174*W_AP)+(Example_DSL*W_DSL+Example_VSAT*W_VSAT+Example_GSM*W_GSM+Example_Other*W_Other))/1000</f>
        <v>0.096</v>
      </c>
      <c r="C180" s="1" t="s">
        <v>84</v>
      </c>
      <c r="D180" s="107">
        <f>B180*Example_infra_usage</f>
        <v>0.384</v>
      </c>
      <c r="E180" s="97" t="s">
        <v>85</v>
      </c>
    </row>
    <row r="181" spans="1:5" s="1" customFormat="1" ht="15" customHeight="1">
      <c r="A181" s="97"/>
      <c r="B181" s="97"/>
      <c r="C181" s="97"/>
      <c r="D181" s="97"/>
      <c r="E181" s="97"/>
    </row>
    <row r="182" spans="1:11" s="18" customFormat="1" ht="36" customHeight="1">
      <c r="A182" s="200" t="s">
        <v>88</v>
      </c>
      <c r="B182" s="109">
        <f>SUM(B178:B180)</f>
        <v>5.216</v>
      </c>
      <c r="C182" s="72" t="s">
        <v>89</v>
      </c>
      <c r="D182" s="72"/>
      <c r="I182" s="1"/>
      <c r="J182" s="1"/>
      <c r="K182" s="1"/>
    </row>
    <row r="183" spans="1:11" s="18" customFormat="1" ht="18" customHeight="1">
      <c r="A183" s="200" t="s">
        <v>90</v>
      </c>
      <c r="B183" s="109">
        <f>SUM(D178:D180)</f>
        <v>20.864</v>
      </c>
      <c r="C183" s="72" t="s">
        <v>91</v>
      </c>
      <c r="D183" s="72"/>
      <c r="I183" s="1"/>
      <c r="J183" s="1"/>
      <c r="K183" s="1"/>
    </row>
    <row r="184" spans="1:11" s="18" customFormat="1" ht="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</row>
    <row r="185" spans="1:12" s="18" customFormat="1" ht="19.5">
      <c r="A185" s="101" t="s">
        <v>92</v>
      </c>
      <c r="B185" s="1"/>
      <c r="C185" s="1"/>
      <c r="D185" s="1"/>
      <c r="E185" s="1"/>
      <c r="J185" s="1"/>
      <c r="K185" s="1"/>
      <c r="L185" s="1"/>
    </row>
    <row r="186" spans="1:12" s="18" customFormat="1" ht="15">
      <c r="A186" s="80" t="s">
        <v>93</v>
      </c>
      <c r="B186" s="80" t="str">
        <f>IF(EXACT(C173,"small server"),"1","&gt; 2")</f>
        <v>&gt; 2</v>
      </c>
      <c r="C186" s="79" t="s">
        <v>94</v>
      </c>
      <c r="D186" s="79"/>
      <c r="E186" s="1"/>
      <c r="J186" s="1"/>
      <c r="K186" s="1"/>
      <c r="L186" s="1"/>
    </row>
    <row r="187" spans="1:11" s="18" customFormat="1" ht="15">
      <c r="A187" s="80" t="s">
        <v>95</v>
      </c>
      <c r="B187" s="80">
        <f>IF(EXACT(C173,"small server"),"1",CEILING(B169*XS_Mem_per_laptop/B173,1))</f>
        <v>1</v>
      </c>
      <c r="C187" s="110" t="s">
        <v>284</v>
      </c>
      <c r="D187" s="79"/>
      <c r="E187" s="1"/>
      <c r="F187" s="1"/>
      <c r="G187" s="1"/>
      <c r="H187" s="1"/>
      <c r="I187" s="1"/>
      <c r="J187" s="1"/>
      <c r="K187" s="1"/>
    </row>
    <row r="188" spans="1:11" s="18" customFormat="1" ht="15" customHeight="1">
      <c r="A188" s="80" t="s">
        <v>97</v>
      </c>
      <c r="B188" s="111">
        <f>CEILING(B169*Backup_Storage_per_laptop/B173+XS_Disk_space,512)</f>
        <v>1536</v>
      </c>
      <c r="C188" s="110" t="s">
        <v>284</v>
      </c>
      <c r="D188" s="112"/>
      <c r="E188" s="5"/>
      <c r="F188" s="5"/>
      <c r="G188" s="5"/>
      <c r="H188" s="1"/>
      <c r="I188" s="1"/>
      <c r="J188" s="1"/>
      <c r="K188" s="1"/>
    </row>
    <row r="189" spans="1:11" s="18" customFormat="1" ht="15">
      <c r="A189" s="1"/>
      <c r="B189" s="1"/>
      <c r="C189" s="1"/>
      <c r="D189" s="5"/>
      <c r="E189" s="5"/>
      <c r="F189" s="5"/>
      <c r="G189" s="5"/>
      <c r="H189" s="1"/>
      <c r="I189" s="1"/>
      <c r="J189" s="1"/>
      <c r="K189" s="1"/>
    </row>
    <row r="190" spans="1:7" s="18" customFormat="1" ht="19.5" customHeight="1">
      <c r="A190" s="113" t="s">
        <v>294</v>
      </c>
      <c r="B190" s="113"/>
      <c r="C190" s="113"/>
      <c r="D190" s="113"/>
      <c r="E190" s="113"/>
      <c r="F190" s="5"/>
      <c r="G190" s="5"/>
    </row>
    <row r="191" s="18" customFormat="1" ht="12.75"/>
    <row r="192" spans="1:4" s="18" customFormat="1" ht="19.5" customHeight="1">
      <c r="A192" s="114" t="s">
        <v>99</v>
      </c>
      <c r="B192" s="115" t="s">
        <v>100</v>
      </c>
      <c r="C192" s="116" t="s">
        <v>101</v>
      </c>
      <c r="D192" s="115" t="s">
        <v>44</v>
      </c>
    </row>
    <row r="193" spans="1:4" s="18" customFormat="1" ht="15">
      <c r="A193" s="97" t="s">
        <v>83</v>
      </c>
      <c r="B193" s="117">
        <f>Laptop_Cost</f>
        <v>209</v>
      </c>
      <c r="C193" s="97">
        <f>B169</f>
        <v>500</v>
      </c>
      <c r="D193" s="37">
        <f aca="true" t="shared" si="7" ref="D193:D199">C193*B193</f>
        <v>104500</v>
      </c>
    </row>
    <row r="194" spans="1:4" s="18" customFormat="1" ht="15">
      <c r="A194" s="97" t="s">
        <v>102</v>
      </c>
      <c r="B194" s="118">
        <f>IF(EXACT(C173,"small server"),Small_Server_Cost,Large_Server_Cost)</f>
        <v>1200</v>
      </c>
      <c r="C194" s="97">
        <f>B173</f>
        <v>1</v>
      </c>
      <c r="D194" s="37">
        <f t="shared" si="7"/>
        <v>1200</v>
      </c>
    </row>
    <row r="195" spans="1:4" s="18" customFormat="1" ht="15">
      <c r="A195" s="97" t="s">
        <v>103</v>
      </c>
      <c r="B195" s="118">
        <f>Disk_Cost</f>
        <v>200</v>
      </c>
      <c r="C195" s="171">
        <f>CEILING(B193/Disk_size,1)*B173</f>
        <v>1</v>
      </c>
      <c r="D195" s="37">
        <f t="shared" si="7"/>
        <v>200</v>
      </c>
    </row>
    <row r="196" spans="1:4" s="18" customFormat="1" ht="15">
      <c r="A196" s="97" t="s">
        <v>104</v>
      </c>
      <c r="B196" s="117">
        <f>AP_Cost</f>
        <v>120</v>
      </c>
      <c r="C196" s="97">
        <f>B174</f>
        <v>7</v>
      </c>
      <c r="D196" s="37">
        <f t="shared" si="7"/>
        <v>840</v>
      </c>
    </row>
    <row r="197" spans="1:4" s="18" customFormat="1" ht="15">
      <c r="A197" s="97" t="s">
        <v>105</v>
      </c>
      <c r="B197" s="117">
        <f>SW_Cost</f>
        <v>120</v>
      </c>
      <c r="C197" s="97">
        <f>B175</f>
        <v>2</v>
      </c>
      <c r="D197" s="37">
        <f t="shared" si="7"/>
        <v>240</v>
      </c>
    </row>
    <row r="198" spans="1:4" s="18" customFormat="1" ht="15">
      <c r="A198" s="97" t="s">
        <v>106</v>
      </c>
      <c r="B198" s="117">
        <f>Cat5_Cost</f>
        <v>10</v>
      </c>
      <c r="C198" s="97">
        <f>C196+C197</f>
        <v>9</v>
      </c>
      <c r="D198" s="37">
        <f t="shared" si="7"/>
        <v>90</v>
      </c>
    </row>
    <row r="199" spans="1:4" s="18" customFormat="1" ht="15">
      <c r="A199" s="97" t="s">
        <v>108</v>
      </c>
      <c r="B199" s="117">
        <f>Power_Strip_Cost</f>
        <v>10</v>
      </c>
      <c r="C199" s="171">
        <f>CEILING(B169/Students_per_strip,1)+IF(B169&gt;Students_per_strip,CEILING(B169/POWER(Students_per_strip,2),1),0)+IF(B169&gt;POWER(Students_per_strip,2),CEILING(B169/POWER(Students_per_strip,3),1),0)+IF(B169&gt;POWER(Students_per_strip,3),CEILING(B169/POWER(Students_per_strip,4),1),0)+C197+B173</f>
        <v>128</v>
      </c>
      <c r="D199" s="37">
        <f t="shared" si="7"/>
        <v>1280</v>
      </c>
    </row>
    <row r="200" spans="1:4" s="123" customFormat="1" ht="18" customHeight="1">
      <c r="A200" s="119"/>
      <c r="B200" s="120"/>
      <c r="C200" s="121" t="s">
        <v>109</v>
      </c>
      <c r="D200" s="122">
        <f>SUM(D193:D199)</f>
        <v>108350</v>
      </c>
    </row>
    <row r="201" spans="1:4" s="123" customFormat="1" ht="18" customHeight="1">
      <c r="A201" s="125"/>
      <c r="B201" s="125"/>
      <c r="C201" s="121" t="s">
        <v>110</v>
      </c>
      <c r="D201" s="120">
        <f>D200/B169</f>
        <v>216.7</v>
      </c>
    </row>
    <row r="202" spans="1:4" s="123" customFormat="1" ht="18" customHeight="1">
      <c r="A202" s="125"/>
      <c r="B202" s="125"/>
      <c r="C202" s="121" t="s">
        <v>111</v>
      </c>
      <c r="D202" s="126">
        <f>SUM(D194:D198)/B169</f>
        <v>5.14</v>
      </c>
    </row>
    <row r="203" spans="1:4" s="123" customFormat="1" ht="18" customHeight="1">
      <c r="A203" s="125"/>
      <c r="B203" s="125"/>
      <c r="C203" s="121" t="s">
        <v>112</v>
      </c>
      <c r="D203" s="126">
        <f>D199/B169</f>
        <v>2.56</v>
      </c>
    </row>
    <row r="204" spans="1:4" s="18" customFormat="1" ht="18" customHeight="1">
      <c r="A204" s="125"/>
      <c r="B204" s="125"/>
      <c r="C204" s="121" t="s">
        <v>288</v>
      </c>
      <c r="D204" s="201">
        <f>B183*KWH_Cost*School_Days_in_Month/B169</f>
        <v>0.10014719999999999</v>
      </c>
    </row>
    <row r="205" s="18" customFormat="1" ht="12.75"/>
    <row r="206" s="18" customFormat="1" ht="12.75"/>
    <row r="207" spans="1:4" s="18" customFormat="1" ht="21" customHeight="1">
      <c r="A207" s="114" t="s">
        <v>119</v>
      </c>
      <c r="B207" s="115" t="s">
        <v>100</v>
      </c>
      <c r="C207" s="116" t="s">
        <v>101</v>
      </c>
      <c r="D207" s="115" t="s">
        <v>44</v>
      </c>
    </row>
    <row r="208" spans="1:4" s="18" customFormat="1" ht="15">
      <c r="A208" s="97" t="s">
        <v>83</v>
      </c>
      <c r="B208" s="117">
        <f>Laptop_Cost</f>
        <v>209</v>
      </c>
      <c r="C208" s="97">
        <f>B169</f>
        <v>500</v>
      </c>
      <c r="D208" s="37">
        <f aca="true" t="shared" si="8" ref="D208:D219">C208*B208</f>
        <v>104500</v>
      </c>
    </row>
    <row r="209" spans="1:4" s="18" customFormat="1" ht="15">
      <c r="A209" s="97" t="s">
        <v>102</v>
      </c>
      <c r="B209" s="118">
        <f>IF(EXACT(C173,"small server"),Small_Server_Cost,Large_Server_Cost)</f>
        <v>1200</v>
      </c>
      <c r="C209" s="97">
        <f>B173</f>
        <v>1</v>
      </c>
      <c r="D209" s="37">
        <f t="shared" si="8"/>
        <v>1200</v>
      </c>
    </row>
    <row r="210" spans="1:4" s="18" customFormat="1" ht="15">
      <c r="A210" s="97" t="s">
        <v>103</v>
      </c>
      <c r="B210" s="118">
        <f>Disk_Cost</f>
        <v>200</v>
      </c>
      <c r="C210" s="171">
        <f>CEILING(B188/Disk_size,1)*B173</f>
        <v>2</v>
      </c>
      <c r="D210" s="37">
        <f t="shared" si="8"/>
        <v>400</v>
      </c>
    </row>
    <row r="211" spans="1:4" s="18" customFormat="1" ht="15">
      <c r="A211" s="97" t="s">
        <v>104</v>
      </c>
      <c r="B211" s="117">
        <f>AP_Cost</f>
        <v>120</v>
      </c>
      <c r="C211" s="97">
        <f>B174</f>
        <v>7</v>
      </c>
      <c r="D211" s="37">
        <f t="shared" si="8"/>
        <v>840</v>
      </c>
    </row>
    <row r="212" spans="1:4" s="18" customFormat="1" ht="15">
      <c r="A212" s="97" t="s">
        <v>105</v>
      </c>
      <c r="B212" s="117">
        <f>SW_Cost</f>
        <v>120</v>
      </c>
      <c r="C212" s="97">
        <f>B175</f>
        <v>2</v>
      </c>
      <c r="D212" s="37">
        <f t="shared" si="8"/>
        <v>240</v>
      </c>
    </row>
    <row r="213" spans="1:4" s="18" customFormat="1" ht="15">
      <c r="A213" s="97" t="s">
        <v>106</v>
      </c>
      <c r="B213" s="117">
        <f>Cat5_Cost</f>
        <v>10</v>
      </c>
      <c r="C213" s="97">
        <f>C211+C212</f>
        <v>9</v>
      </c>
      <c r="D213" s="37">
        <f t="shared" si="8"/>
        <v>90</v>
      </c>
    </row>
    <row r="214" spans="1:4" s="97" customFormat="1" ht="15">
      <c r="A214" s="97" t="s">
        <v>120</v>
      </c>
      <c r="B214" s="117">
        <f>Large_Solar_Panel_Cost</f>
        <v>5000</v>
      </c>
      <c r="C214" s="97">
        <f>CEILING(B183/(Example_Sunlight_Hours*Charge_Controller_Efficiency),0.2)</f>
        <v>5.800000000000001</v>
      </c>
      <c r="D214" s="37">
        <f t="shared" si="8"/>
        <v>29000.000000000004</v>
      </c>
    </row>
    <row r="215" spans="1:4" s="97" customFormat="1" ht="15">
      <c r="A215" s="97" t="s">
        <v>121</v>
      </c>
      <c r="B215" s="117">
        <f>Inverter_Cost</f>
        <v>2000</v>
      </c>
      <c r="C215" s="97">
        <f>CEILING(B183/(2*Example_Sunlight_Hours),1)</f>
        <v>3</v>
      </c>
      <c r="D215" s="37">
        <f t="shared" si="8"/>
        <v>6000</v>
      </c>
    </row>
    <row r="216" spans="1:4" s="97" customFormat="1" ht="15">
      <c r="A216" s="97" t="s">
        <v>122</v>
      </c>
      <c r="B216" s="117">
        <f>Large_Battery_Cost</f>
        <v>1500</v>
      </c>
      <c r="C216" s="97">
        <f>CEILING(D179+D180+(D178*Example_power_storage),0.5)</f>
        <v>1</v>
      </c>
      <c r="D216" s="37">
        <f t="shared" si="8"/>
        <v>1500</v>
      </c>
    </row>
    <row r="217" spans="1:4" s="97" customFormat="1" ht="15">
      <c r="A217" s="97" t="s">
        <v>123</v>
      </c>
      <c r="B217" s="117">
        <f>Charge_Controller_Cost</f>
        <v>500</v>
      </c>
      <c r="C217" s="97">
        <f>CEILING(C214/1.4,1)</f>
        <v>5</v>
      </c>
      <c r="D217" s="37">
        <f t="shared" si="8"/>
        <v>2500</v>
      </c>
    </row>
    <row r="218" spans="1:4" s="97" customFormat="1" ht="15">
      <c r="A218" s="97" t="s">
        <v>287</v>
      </c>
      <c r="B218" s="117">
        <f>Outlet_Cost</f>
        <v>40</v>
      </c>
      <c r="C218" s="97">
        <f>CEILING(B169/Students_per_outlet,1)</f>
        <v>13</v>
      </c>
      <c r="D218" s="37">
        <f t="shared" si="8"/>
        <v>520</v>
      </c>
    </row>
    <row r="219" spans="1:4" s="18" customFormat="1" ht="15">
      <c r="A219" s="97" t="s">
        <v>108</v>
      </c>
      <c r="B219" s="117">
        <f>Power_Strip_Cost</f>
        <v>10</v>
      </c>
      <c r="C219" s="171">
        <f>CEILING(B169/Students_per_strip,1)+IF(B169&gt;Students_per_strip,CEILING(B169/POWER(Students_per_strip,2),1),0)+IF(B169&gt;POWER(Students_per_strip,2),CEILING(B169/POWER(Students_per_strip,3),1),0)+IF(B169&gt;POWER(Students_per_strip,3),CEILING(B169/POWER(Students_per_strip,4),1),0)+C212+B173</f>
        <v>128</v>
      </c>
      <c r="D219" s="37">
        <f t="shared" si="8"/>
        <v>1280</v>
      </c>
    </row>
    <row r="220" spans="1:4" s="123" customFormat="1" ht="18" customHeight="1">
      <c r="A220" s="119"/>
      <c r="B220" s="120"/>
      <c r="C220" s="121" t="s">
        <v>109</v>
      </c>
      <c r="D220" s="122">
        <f>SUM(D208:D219)</f>
        <v>148070</v>
      </c>
    </row>
    <row r="221" spans="1:4" s="123" customFormat="1" ht="18" customHeight="1">
      <c r="A221" s="125"/>
      <c r="B221" s="125"/>
      <c r="C221" s="121" t="s">
        <v>110</v>
      </c>
      <c r="D221" s="120">
        <f>D220/B169</f>
        <v>296.14</v>
      </c>
    </row>
    <row r="222" spans="1:4" s="123" customFormat="1" ht="18" customHeight="1">
      <c r="A222" s="125"/>
      <c r="B222" s="125"/>
      <c r="C222" s="121" t="s">
        <v>112</v>
      </c>
      <c r="D222" s="126">
        <f>SUM(D214:D219)/B169</f>
        <v>81.6</v>
      </c>
    </row>
    <row r="223" spans="1:4" s="18" customFormat="1" ht="18" customHeight="1">
      <c r="A223" s="125"/>
      <c r="B223" s="125"/>
      <c r="C223" s="121" t="s">
        <v>288</v>
      </c>
      <c r="D223" s="120">
        <f>0</f>
        <v>0</v>
      </c>
    </row>
    <row r="224" s="18" customFormat="1" ht="12.75"/>
    <row r="225" s="18" customFormat="1" ht="12.75"/>
    <row r="226" spans="1:4" s="18" customFormat="1" ht="21" customHeight="1">
      <c r="A226" s="114" t="s">
        <v>127</v>
      </c>
      <c r="B226" s="115" t="s">
        <v>100</v>
      </c>
      <c r="C226" s="116" t="s">
        <v>101</v>
      </c>
      <c r="D226" s="115" t="s">
        <v>44</v>
      </c>
    </row>
    <row r="227" spans="1:4" s="18" customFormat="1" ht="15">
      <c r="A227" s="97" t="s">
        <v>83</v>
      </c>
      <c r="B227" s="117">
        <f>Laptop_Cost</f>
        <v>209</v>
      </c>
      <c r="C227" s="97">
        <f>B169</f>
        <v>500</v>
      </c>
      <c r="D227" s="37">
        <f aca="true" t="shared" si="9" ref="D227:D235">C227*B227</f>
        <v>104500</v>
      </c>
    </row>
    <row r="228" spans="1:4" s="18" customFormat="1" ht="15">
      <c r="A228" s="97" t="s">
        <v>102</v>
      </c>
      <c r="B228" s="118">
        <f>IF(EXACT(C173,"small server"),Small_Server_Cost,Large_Server_Cost)</f>
        <v>1200</v>
      </c>
      <c r="C228" s="97">
        <f>B173</f>
        <v>1</v>
      </c>
      <c r="D228" s="37">
        <f t="shared" si="9"/>
        <v>1200</v>
      </c>
    </row>
    <row r="229" spans="1:4" s="18" customFormat="1" ht="15">
      <c r="A229" s="97" t="s">
        <v>103</v>
      </c>
      <c r="B229" s="118">
        <f>Disk_Cost</f>
        <v>200</v>
      </c>
      <c r="C229" s="171">
        <f>CEILING(B188/Disk_size,1)*B173</f>
        <v>2</v>
      </c>
      <c r="D229" s="37">
        <f t="shared" si="9"/>
        <v>400</v>
      </c>
    </row>
    <row r="230" spans="1:4" s="18" customFormat="1" ht="15">
      <c r="A230" s="97" t="s">
        <v>104</v>
      </c>
      <c r="B230" s="117">
        <f>AP_Cost</f>
        <v>120</v>
      </c>
      <c r="C230" s="97">
        <f>B174</f>
        <v>7</v>
      </c>
      <c r="D230" s="37">
        <f t="shared" si="9"/>
        <v>840</v>
      </c>
    </row>
    <row r="231" spans="1:4" s="18" customFormat="1" ht="15">
      <c r="A231" s="97" t="s">
        <v>105</v>
      </c>
      <c r="B231" s="117">
        <f>SW_Cost</f>
        <v>120</v>
      </c>
      <c r="C231" s="97">
        <f>B175</f>
        <v>2</v>
      </c>
      <c r="D231" s="37">
        <f t="shared" si="9"/>
        <v>240</v>
      </c>
    </row>
    <row r="232" spans="1:4" s="18" customFormat="1" ht="15">
      <c r="A232" s="97" t="s">
        <v>106</v>
      </c>
      <c r="B232" s="117">
        <f>Cat5_Cost</f>
        <v>10</v>
      </c>
      <c r="C232" s="97">
        <f>C230+C231</f>
        <v>9</v>
      </c>
      <c r="D232" s="37">
        <f t="shared" si="9"/>
        <v>90</v>
      </c>
    </row>
    <row r="233" spans="1:4" s="97" customFormat="1" ht="15">
      <c r="A233" s="97" t="s">
        <v>128</v>
      </c>
      <c r="B233" s="117">
        <f>Generator_Cost</f>
        <v>500</v>
      </c>
      <c r="C233" s="97">
        <f>CEILING(B182/Generator_KW,1)</f>
        <v>2</v>
      </c>
      <c r="D233" s="37">
        <f t="shared" si="9"/>
        <v>1000</v>
      </c>
    </row>
    <row r="234" spans="1:4" s="97" customFormat="1" ht="15">
      <c r="A234" s="97" t="s">
        <v>129</v>
      </c>
      <c r="B234" s="117">
        <f>Outlet_Cost</f>
        <v>40</v>
      </c>
      <c r="C234" s="97">
        <f>CEILING(B169/Students_per_outlet,1)</f>
        <v>13</v>
      </c>
      <c r="D234" s="37">
        <f t="shared" si="9"/>
        <v>520</v>
      </c>
    </row>
    <row r="235" spans="1:4" s="18" customFormat="1" ht="15">
      <c r="A235" s="97" t="s">
        <v>108</v>
      </c>
      <c r="B235" s="117">
        <f>Power_Strip_Cost</f>
        <v>10</v>
      </c>
      <c r="C235" s="171">
        <f>CEILING(B169/Students_per_strip,1)+IF(B169&gt;Students_per_strip,CEILING(B169/POWER(Students_per_strip,2),1),0)+IF(B169&gt;POWER(Students_per_strip,2),CEILING(B169/POWER(Students_per_strip,3),1),0)+IF(B169&gt;POWER(Students_per_strip,3),CEILING(B169/POWER(Students_per_strip,4),1),0)+C228+C231</f>
        <v>128</v>
      </c>
      <c r="D235" s="37">
        <f t="shared" si="9"/>
        <v>1280</v>
      </c>
    </row>
    <row r="236" spans="1:4" s="123" customFormat="1" ht="18" customHeight="1">
      <c r="A236" s="119"/>
      <c r="B236" s="120"/>
      <c r="C236" s="121" t="s">
        <v>109</v>
      </c>
      <c r="D236" s="122">
        <f>SUM(D227:D235)</f>
        <v>110070</v>
      </c>
    </row>
    <row r="237" spans="1:4" s="123" customFormat="1" ht="18" customHeight="1">
      <c r="A237" s="125"/>
      <c r="B237" s="125"/>
      <c r="C237" s="121" t="s">
        <v>110</v>
      </c>
      <c r="D237" s="120">
        <f>D236/B169</f>
        <v>220.14</v>
      </c>
    </row>
    <row r="238" spans="1:4" s="123" customFormat="1" ht="18" customHeight="1">
      <c r="A238" s="125"/>
      <c r="B238" s="125"/>
      <c r="C238" s="121" t="s">
        <v>112</v>
      </c>
      <c r="D238" s="126">
        <f>SUM(D233:D235)/B169</f>
        <v>5.6</v>
      </c>
    </row>
    <row r="239" spans="1:4" s="18" customFormat="1" ht="18" customHeight="1">
      <c r="A239" s="125"/>
      <c r="B239" s="125"/>
      <c r="C239" s="121" t="s">
        <v>288</v>
      </c>
      <c r="D239" s="201">
        <f>School_Days_in_Month*B183*Generator_KW_Cost/B169</f>
        <v>0.6676480000000001</v>
      </c>
    </row>
  </sheetData>
  <mergeCells count="12">
    <mergeCell ref="A1:E1"/>
    <mergeCell ref="A2:E2"/>
    <mergeCell ref="A3:E3"/>
    <mergeCell ref="A4:E4"/>
    <mergeCell ref="A7:E7"/>
    <mergeCell ref="A26:E26"/>
    <mergeCell ref="A94:E94"/>
    <mergeCell ref="A97:E97"/>
    <mergeCell ref="A116:E116"/>
    <mergeCell ref="A168:E168"/>
    <mergeCell ref="A171:E171"/>
    <mergeCell ref="A190:E190"/>
  </mergeCells>
  <printOptions/>
  <pageMargins left="0.7479166666666667" right="0.7479166666666667" top="0.9840277777777777" bottom="0.9840277777777777" header="0.5" footer="0.5"/>
  <pageSetup horizontalDpi="300" verticalDpi="300" orientation="portrait"/>
  <headerFooter alignWithMargins="0">
    <oddHeader>&amp;L&amp;"Arial,Bold"&amp;12Example Schools&amp;R&amp;"Arial,Bold"&amp;12OLPC Deployment Workbook</oddHeader>
    <oddFooter>&amp;C&amp;"Arial,Italic"page &amp;P of &amp;N&amp;R&amp;"Arial,Italic"&amp;D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OLPC Deployment Workbook</dc:title>
  <dc:subject/>
  <dc:creator>John Watlington, Richard Smith, Reuben Caron</dc:creator>
  <cp:keywords/>
  <dc:description/>
  <cp:lastModifiedBy>Joshua Seal</cp:lastModifiedBy>
  <cp:lastPrinted>2008-11-06T21:47:32Z</cp:lastPrinted>
  <dcterms:created xsi:type="dcterms:W3CDTF">2008-10-31T15:01:19Z</dcterms:created>
  <dcterms:modified xsi:type="dcterms:W3CDTF">2008-11-19T16:24:52Z</dcterms:modified>
  <cp:category/>
  <cp:version/>
  <cp:contentType/>
  <cp:contentStatus/>
</cp:coreProperties>
</file>